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iranda.vucenovic\AppData\Local\Microsoft\Windows\Temporary Internet Files\Content.Outlook\0U5VV009\"/>
    </mc:Choice>
  </mc:AlternateContent>
  <bookViews>
    <workbookView xWindow="12585" yWindow="-15" windowWidth="12630" windowHeight="12405" tabRatio="873"/>
  </bookViews>
  <sheets>
    <sheet name="0 Радови на рушењу " sheetId="18" r:id="rId1"/>
    <sheet name="1(1-(2-1)-Arhitetura-Konstrukc." sheetId="1" r:id="rId2"/>
    <sheet name="Specifikacija-Racun" sheetId="4" state="hidden" r:id="rId3"/>
    <sheet name="List1" sheetId="5" state="hidden" r:id="rId4"/>
    <sheet name="2 (3)-Spoljni ViK" sheetId="24" r:id="rId5"/>
    <sheet name="3 (3)-Unutrašnji ViK" sheetId="21" r:id="rId6"/>
    <sheet name="4 (4) Elektroinstalacija-1" sheetId="29" r:id="rId7"/>
    <sheet name="5 (5-1)-Tel. i Signalna Instal." sheetId="26" r:id="rId8"/>
    <sheet name="6 (5-2)-Dojava požara" sheetId="13" r:id="rId9"/>
    <sheet name="7 (6-1) Mašinske instalac" sheetId="28" r:id="rId10"/>
    <sheet name="8 (6-2) Projekat Lifta" sheetId="15" r:id="rId11"/>
    <sheet name="9 (8)-Saobraćajna signalizacija" sheetId="10" r:id="rId12"/>
    <sheet name="10 (9)-Spoljno uređenje" sheetId="8" r:id="rId13"/>
    <sheet name="ZBIRNA REKAPITULACIJA" sheetId="9" r:id="rId14"/>
  </sheets>
  <externalReferences>
    <externalReference r:id="rId15"/>
    <externalReference r:id="rId16"/>
  </externalReferences>
  <definedNames>
    <definedName name="euro">'1(1-(2-1)-Arhitetura-Konstrukc.'!$F$6</definedName>
    <definedName name="_xlnm.Print_Area" localSheetId="0">'0 Радови на рушењу '!$A$1:$F$81</definedName>
    <definedName name="_xlnm.Print_Area" localSheetId="6">'4 (4) Elektroinstalacija-1'!$A$1:$F$462</definedName>
    <definedName name="_xlnm.Print_Area" localSheetId="11">'9 (8)-Saobraćajna signalizacija'!$A$1:$F$26</definedName>
  </definedNames>
  <calcPr calcId="152511"/>
</workbook>
</file>

<file path=xl/calcChain.xml><?xml version="1.0" encoding="utf-8"?>
<calcChain xmlns="http://schemas.openxmlformats.org/spreadsheetml/2006/main">
  <c r="F455" i="29" l="1"/>
  <c r="F460" i="29" l="1"/>
  <c r="A16" i="13" l="1"/>
  <c r="A17" i="13" s="1"/>
  <c r="A18" i="13" s="1"/>
  <c r="A13" i="13"/>
  <c r="A5" i="13"/>
  <c r="A6" i="13" s="1"/>
  <c r="A7" i="13" s="1"/>
  <c r="A8" i="13" s="1"/>
  <c r="A9" i="13" s="1"/>
  <c r="A10" i="13" s="1"/>
  <c r="A11" i="13" s="1"/>
  <c r="F2" i="13"/>
  <c r="B2" i="13"/>
  <c r="C2" i="13" s="1"/>
  <c r="D2" i="13" s="1"/>
  <c r="D23" i="10" l="1"/>
  <c r="D19" i="10"/>
  <c r="D16" i="10"/>
  <c r="D13" i="10"/>
  <c r="D12" i="10"/>
  <c r="E192" i="8" l="1"/>
  <c r="E186" i="8"/>
  <c r="E173" i="8"/>
  <c r="E155" i="8"/>
  <c r="E150" i="8"/>
  <c r="E124" i="8"/>
  <c r="E116" i="8"/>
  <c r="E110" i="8"/>
  <c r="E105" i="8"/>
  <c r="E99" i="8"/>
  <c r="E93" i="8"/>
  <c r="E80" i="8"/>
  <c r="E76" i="8"/>
  <c r="E70" i="8"/>
  <c r="E65" i="8"/>
  <c r="E60" i="8"/>
  <c r="E54" i="8"/>
  <c r="E40" i="8"/>
  <c r="E35" i="8"/>
  <c r="E27" i="8"/>
  <c r="E22" i="8"/>
  <c r="E16" i="8"/>
  <c r="E9" i="8"/>
  <c r="B406" i="4" l="1"/>
  <c r="C406" i="4" s="1"/>
  <c r="B404" i="4"/>
  <c r="B403" i="4"/>
  <c r="B402" i="4"/>
  <c r="B400" i="4"/>
  <c r="C400" i="4" s="1"/>
  <c r="B395" i="4"/>
  <c r="C877" i="1"/>
  <c r="E875" i="1" s="1"/>
  <c r="B397" i="4"/>
  <c r="B392" i="4"/>
  <c r="B391" i="4"/>
  <c r="B390" i="4"/>
  <c r="B388" i="4"/>
  <c r="B383" i="4"/>
  <c r="H383" i="4" s="1"/>
  <c r="B381" i="4"/>
  <c r="H381" i="4" s="1"/>
  <c r="B379" i="4"/>
  <c r="H379" i="4" s="1"/>
  <c r="B376" i="4"/>
  <c r="H376" i="4" s="1"/>
  <c r="B374" i="4"/>
  <c r="H374" i="4" s="1"/>
  <c r="B371" i="4"/>
  <c r="H371" i="4" s="1"/>
  <c r="B369" i="4"/>
  <c r="H369" i="4" s="1"/>
  <c r="B349" i="4"/>
  <c r="H349" i="4" s="1"/>
  <c r="B359" i="4"/>
  <c r="H359" i="4" s="1"/>
  <c r="B318" i="4"/>
  <c r="H318" i="4" s="1"/>
  <c r="B353" i="4"/>
  <c r="H353" i="4" s="1"/>
  <c r="B355" i="4"/>
  <c r="H355" i="4" s="1"/>
  <c r="B357" i="4"/>
  <c r="H357" i="4" s="1"/>
  <c r="B347" i="4"/>
  <c r="B345" i="4"/>
  <c r="H347" i="4" s="1"/>
  <c r="B342" i="4"/>
  <c r="B340" i="4"/>
  <c r="B337" i="4"/>
  <c r="B335" i="4"/>
  <c r="H337" i="4" s="1"/>
  <c r="B330" i="4"/>
  <c r="H330" i="4" s="1"/>
  <c r="B328" i="4"/>
  <c r="B326" i="4"/>
  <c r="B316" i="4"/>
  <c r="B314" i="4"/>
  <c r="B309" i="4"/>
  <c r="H309" i="4" s="1"/>
  <c r="B307" i="4"/>
  <c r="B305" i="4"/>
  <c r="H307" i="4" s="1"/>
  <c r="B296" i="4"/>
  <c r="B295" i="4"/>
  <c r="B293" i="4"/>
  <c r="B292" i="4"/>
  <c r="B290" i="4"/>
  <c r="B289" i="4"/>
  <c r="B286" i="4"/>
  <c r="B285" i="4"/>
  <c r="B284" i="4"/>
  <c r="B283" i="4"/>
  <c r="B282" i="4"/>
  <c r="B281" i="4"/>
  <c r="H328" i="4" l="1"/>
  <c r="D392" i="4"/>
  <c r="I392" i="4" s="1"/>
  <c r="E837" i="1" s="1"/>
  <c r="I286" i="4"/>
  <c r="E702" i="1" s="1"/>
  <c r="C404" i="4"/>
  <c r="I296" i="4"/>
  <c r="E724" i="1" s="1"/>
  <c r="I397" i="4"/>
  <c r="E850" i="1" s="1"/>
  <c r="H316" i="4"/>
  <c r="I330" i="4" s="1"/>
  <c r="E750" i="1" s="1"/>
  <c r="H342" i="4"/>
  <c r="I347" i="4" s="1"/>
  <c r="E775" i="1" s="1"/>
  <c r="I357" i="4"/>
  <c r="E796" i="1" s="1"/>
  <c r="I383" i="4"/>
  <c r="E808" i="1" s="1"/>
  <c r="I406" i="4"/>
  <c r="E859" i="1" s="1"/>
  <c r="B274" i="4"/>
  <c r="B273" i="4"/>
  <c r="B272" i="4"/>
  <c r="B269" i="4"/>
  <c r="I269" i="4" s="1"/>
  <c r="E657" i="1" s="1"/>
  <c r="B268" i="4"/>
  <c r="B266" i="4"/>
  <c r="B263" i="4"/>
  <c r="I263" i="4" s="1"/>
  <c r="E643" i="1" s="1"/>
  <c r="B261" i="4"/>
  <c r="B260" i="4"/>
  <c r="B259" i="4"/>
  <c r="B256" i="4"/>
  <c r="B255" i="4"/>
  <c r="B254" i="4"/>
  <c r="B251" i="4"/>
  <c r="B250" i="4"/>
  <c r="B249" i="4"/>
  <c r="B238" i="4"/>
  <c r="H238" i="4" s="1"/>
  <c r="B235" i="4"/>
  <c r="B234" i="4"/>
  <c r="B232" i="4"/>
  <c r="B231" i="4"/>
  <c r="B226" i="4"/>
  <c r="B225" i="4"/>
  <c r="B224" i="4"/>
  <c r="B242" i="4"/>
  <c r="I242" i="4" s="1"/>
  <c r="E595" i="1" s="1"/>
  <c r="B220" i="4"/>
  <c r="I220" i="4" s="1"/>
  <c r="E569" i="1" s="1"/>
  <c r="B217" i="4"/>
  <c r="I217" i="4" s="1"/>
  <c r="E555" i="1" s="1"/>
  <c r="B214" i="4"/>
  <c r="I214" i="4" s="1"/>
  <c r="E549" i="1" s="1"/>
  <c r="I268" i="4" l="1"/>
  <c r="E649" i="1" s="1"/>
  <c r="D226" i="4"/>
  <c r="F251" i="4"/>
  <c r="I274" i="4"/>
  <c r="E663" i="1" s="1"/>
  <c r="F261" i="4"/>
  <c r="E632" i="1" s="1"/>
  <c r="D232" i="4"/>
  <c r="F256" i="4"/>
  <c r="D235" i="4"/>
  <c r="B211" i="4"/>
  <c r="B209" i="4"/>
  <c r="I256" i="4" l="1"/>
  <c r="E609" i="1" s="1"/>
  <c r="H235" i="4"/>
  <c r="I238" i="4" s="1"/>
  <c r="E578" i="1" s="1"/>
  <c r="I211" i="4"/>
  <c r="E540" i="1" s="1"/>
  <c r="B199" i="4"/>
  <c r="I199" i="4" s="1"/>
  <c r="E506" i="1" s="1"/>
  <c r="B180" i="4"/>
  <c r="B179" i="4"/>
  <c r="B176" i="4"/>
  <c r="I176" i="4" s="1"/>
  <c r="E365" i="1" s="1"/>
  <c r="B174" i="4"/>
  <c r="B173" i="4"/>
  <c r="B172" i="4"/>
  <c r="B170" i="4"/>
  <c r="I170" i="4" s="1"/>
  <c r="E349" i="1" s="1"/>
  <c r="B162" i="4"/>
  <c r="B161" i="4"/>
  <c r="B160" i="4"/>
  <c r="B159" i="4"/>
  <c r="B158" i="4"/>
  <c r="B166" i="4"/>
  <c r="B165" i="4"/>
  <c r="B164" i="4"/>
  <c r="B155" i="4"/>
  <c r="I155" i="4" s="1"/>
  <c r="E315" i="1" s="1"/>
  <c r="B152" i="4"/>
  <c r="B151" i="4"/>
  <c r="B150" i="4"/>
  <c r="B149" i="4"/>
  <c r="B147" i="4"/>
  <c r="I147" i="4" s="1"/>
  <c r="E290" i="1" s="1"/>
  <c r="B145" i="4"/>
  <c r="I145" i="4" s="1"/>
  <c r="E285" i="1" s="1"/>
  <c r="B143" i="4"/>
  <c r="B142" i="4"/>
  <c r="B141" i="4"/>
  <c r="B140" i="4"/>
  <c r="B139" i="4"/>
  <c r="I180" i="4" l="1"/>
  <c r="E372" i="1" s="1"/>
  <c r="E166" i="4"/>
  <c r="D174" i="4"/>
  <c r="I174" i="4" s="1"/>
  <c r="E356" i="1" s="1"/>
  <c r="B153" i="4"/>
  <c r="I153" i="4" s="1"/>
  <c r="E299" i="1" s="1"/>
  <c r="I143" i="4"/>
  <c r="E271" i="1" s="1"/>
  <c r="E162" i="4"/>
  <c r="I166" i="4" s="1"/>
  <c r="E324" i="1" s="1"/>
  <c r="B136" i="4"/>
  <c r="I136" i="4" s="1"/>
  <c r="E261" i="1" s="1"/>
  <c r="B133" i="4"/>
  <c r="I133" i="4" s="1"/>
  <c r="E256" i="1" s="1"/>
  <c r="B128" i="4"/>
  <c r="B127" i="4"/>
  <c r="B126" i="4"/>
  <c r="B123" i="4"/>
  <c r="I123" i="4" s="1"/>
  <c r="E227" i="1" s="1"/>
  <c r="B82" i="4"/>
  <c r="B101" i="4"/>
  <c r="B108" i="4"/>
  <c r="B120" i="4"/>
  <c r="I120" i="4" s="1"/>
  <c r="E222" i="1" s="1"/>
  <c r="B117" i="4"/>
  <c r="I117" i="4" s="1"/>
  <c r="E217" i="1" s="1"/>
  <c r="B114" i="4"/>
  <c r="B113" i="4"/>
  <c r="B112" i="4"/>
  <c r="B107" i="4"/>
  <c r="B106" i="4"/>
  <c r="B105" i="4"/>
  <c r="B104" i="4"/>
  <c r="B88" i="4"/>
  <c r="B129" i="4" l="1"/>
  <c r="I129" i="4" s="1"/>
  <c r="E235" i="1" s="1"/>
  <c r="D114" i="4"/>
  <c r="D107" i="4"/>
  <c r="B100" i="4"/>
  <c r="B99" i="4"/>
  <c r="B98" i="4"/>
  <c r="B91" i="4"/>
  <c r="B90" i="4"/>
  <c r="B96" i="4"/>
  <c r="B95" i="4"/>
  <c r="B94" i="4"/>
  <c r="B92" i="4"/>
  <c r="B89" i="4"/>
  <c r="B85" i="4"/>
  <c r="I85" i="4" s="1"/>
  <c r="E154" i="1" s="1"/>
  <c r="I82" i="4"/>
  <c r="E148" i="1" s="1"/>
  <c r="B79" i="4"/>
  <c r="I79" i="4" s="1"/>
  <c r="E142" i="1" s="1"/>
  <c r="B74" i="4"/>
  <c r="I74" i="4" s="1"/>
  <c r="E129" i="1" s="1"/>
  <c r="D96" i="4" l="1"/>
  <c r="I114" i="4"/>
  <c r="E196" i="1" s="1"/>
  <c r="D92" i="4"/>
  <c r="B102" i="4"/>
  <c r="I102" i="4" s="1"/>
  <c r="E183" i="1" s="1"/>
  <c r="B72" i="4"/>
  <c r="B71" i="4"/>
  <c r="B70" i="4"/>
  <c r="B67" i="4"/>
  <c r="B66" i="4"/>
  <c r="B65" i="4"/>
  <c r="B64" i="4"/>
  <c r="B5" i="4"/>
  <c r="I5" i="4" s="1"/>
  <c r="E31" i="1" s="1"/>
  <c r="B62" i="4"/>
  <c r="B61" i="4"/>
  <c r="B60" i="4"/>
  <c r="B58" i="4"/>
  <c r="B57" i="4"/>
  <c r="B56" i="4"/>
  <c r="B55" i="4"/>
  <c r="B53" i="4"/>
  <c r="B51" i="4"/>
  <c r="B50" i="4"/>
  <c r="B49" i="4"/>
  <c r="B48" i="4"/>
  <c r="D62" i="4" l="1"/>
  <c r="I96" i="4"/>
  <c r="E161" i="1" s="1"/>
  <c r="D72" i="4"/>
  <c r="D67" i="4"/>
  <c r="D51" i="4"/>
  <c r="I51" i="4" s="1"/>
  <c r="E72" i="1" s="1"/>
  <c r="D58" i="4"/>
  <c r="F41" i="4"/>
  <c r="H41" i="4" s="1"/>
  <c r="F40" i="4"/>
  <c r="H40" i="4" s="1"/>
  <c r="F39" i="4"/>
  <c r="H39" i="4" s="1"/>
  <c r="F38" i="4"/>
  <c r="H38" i="4" s="1"/>
  <c r="F37" i="4"/>
  <c r="H37" i="4" s="1"/>
  <c r="F36" i="4"/>
  <c r="H36" i="4" s="1"/>
  <c r="F35" i="4"/>
  <c r="H35" i="4" s="1"/>
  <c r="I3" i="4"/>
  <c r="E26" i="1" s="1"/>
  <c r="F32" i="4"/>
  <c r="I32" i="4" s="1"/>
  <c r="B30" i="4"/>
  <c r="F30" i="4" s="1"/>
  <c r="I30" i="4" s="1"/>
  <c r="F24" i="4"/>
  <c r="F23" i="4"/>
  <c r="F20" i="4"/>
  <c r="F19" i="4"/>
  <c r="F18" i="4"/>
  <c r="F17" i="4"/>
  <c r="F14" i="4"/>
  <c r="F13" i="4"/>
  <c r="F12" i="4"/>
  <c r="F11" i="4"/>
  <c r="I62" i="4" l="1"/>
  <c r="E89" i="1" s="1"/>
  <c r="H42" i="4"/>
  <c r="I42" i="4" s="1"/>
  <c r="E61" i="1" s="1"/>
  <c r="F25" i="4"/>
  <c r="I25" i="4" s="1"/>
  <c r="I72" i="4"/>
  <c r="E109" i="1" s="1"/>
  <c r="F15" i="4"/>
  <c r="I15" i="4" s="1"/>
  <c r="E43" i="1" s="1"/>
  <c r="F21" i="4"/>
  <c r="I21" i="4" s="1"/>
  <c r="E49" i="1" s="1"/>
  <c r="I33" i="4"/>
  <c r="E55" i="1" s="1"/>
</calcChain>
</file>

<file path=xl/sharedStrings.xml><?xml version="1.0" encoding="utf-8"?>
<sst xmlns="http://schemas.openxmlformats.org/spreadsheetml/2006/main" count="3500" uniqueCount="1965">
  <si>
    <t>1.</t>
  </si>
  <si>
    <t>2.</t>
  </si>
  <si>
    <t>3.</t>
  </si>
  <si>
    <t>4.</t>
  </si>
  <si>
    <t>5.</t>
  </si>
  <si>
    <t>6.</t>
  </si>
  <si>
    <t>7.</t>
  </si>
  <si>
    <t>8.</t>
  </si>
  <si>
    <t>kom</t>
  </si>
  <si>
    <t>9.</t>
  </si>
  <si>
    <t>10.</t>
  </si>
  <si>
    <t>5.26.6.</t>
  </si>
  <si>
    <t>5.26.13.</t>
  </si>
  <si>
    <t>5.28.7</t>
  </si>
  <si>
    <t>BRAVARSKI RADOVI</t>
  </si>
  <si>
    <t>22.8.1.</t>
  </si>
  <si>
    <t>15.3.7.</t>
  </si>
  <si>
    <t>odbiti</t>
  </si>
  <si>
    <t>19.4.12.</t>
  </si>
  <si>
    <t>MOLERSKO FARBARSKI RADOVI</t>
  </si>
  <si>
    <t>26.3.13.</t>
  </si>
  <si>
    <t>ZAVRŠNI RADOVI</t>
  </si>
  <si>
    <t>1.11.2.</t>
  </si>
  <si>
    <t>1.10.4.</t>
  </si>
  <si>
    <t>PRIPREMNI RADOVI I RUŠENJE</t>
  </si>
  <si>
    <t>1.1.</t>
  </si>
  <si>
    <t>1.2.</t>
  </si>
  <si>
    <t>1.3.</t>
  </si>
  <si>
    <t>1.4.</t>
  </si>
  <si>
    <t>1.5.</t>
  </si>
  <si>
    <t>2.1.</t>
  </si>
  <si>
    <t>2.2.</t>
  </si>
  <si>
    <t>2.4.</t>
  </si>
  <si>
    <t>3.1.</t>
  </si>
  <si>
    <t>3.2.</t>
  </si>
  <si>
    <t>4.1.</t>
  </si>
  <si>
    <t>4.2.</t>
  </si>
  <si>
    <t>4.3.</t>
  </si>
  <si>
    <t>4.4.</t>
  </si>
  <si>
    <t>4.5.</t>
  </si>
  <si>
    <t>5.1.</t>
  </si>
  <si>
    <t>6.1.</t>
  </si>
  <si>
    <t>6.3.</t>
  </si>
  <si>
    <t>6.4.</t>
  </si>
  <si>
    <t>9.1.</t>
  </si>
  <si>
    <t>9.3.</t>
  </si>
  <si>
    <t>10.1.</t>
  </si>
  <si>
    <t>Prizemlje</t>
  </si>
  <si>
    <t>3.3.</t>
  </si>
  <si>
    <t>Pripremni radovi</t>
  </si>
  <si>
    <t>I Sprat</t>
  </si>
  <si>
    <t>II Sprat</t>
  </si>
  <si>
    <t>Zemljani radovi</t>
  </si>
  <si>
    <t>2.3.</t>
  </si>
  <si>
    <t>6.2.1.</t>
  </si>
  <si>
    <t>6.4.4.</t>
  </si>
  <si>
    <t>6.16.3</t>
  </si>
  <si>
    <t>4.6.</t>
  </si>
  <si>
    <t>4.7.</t>
  </si>
  <si>
    <t>4.8.</t>
  </si>
  <si>
    <t>7.9.3.</t>
  </si>
  <si>
    <t>4.9.</t>
  </si>
  <si>
    <t>5.2.</t>
  </si>
  <si>
    <t>5.3.</t>
  </si>
  <si>
    <t>7.9.12.</t>
  </si>
  <si>
    <t>4.10.</t>
  </si>
  <si>
    <t>5.4.</t>
  </si>
  <si>
    <t>9.4.3.</t>
  </si>
  <si>
    <t>5.5.</t>
  </si>
  <si>
    <t>13.2.2.</t>
  </si>
  <si>
    <t>13.12.3.</t>
  </si>
  <si>
    <t>10.3.</t>
  </si>
  <si>
    <t>10.4.</t>
  </si>
  <si>
    <t>10.5.</t>
  </si>
  <si>
    <t>11.</t>
  </si>
  <si>
    <t>11.1.</t>
  </si>
  <si>
    <t>11.2.</t>
  </si>
  <si>
    <t>12.</t>
  </si>
  <si>
    <t>13.</t>
  </si>
  <si>
    <t>14.</t>
  </si>
  <si>
    <t>15.</t>
  </si>
  <si>
    <t>15.3.1.</t>
  </si>
  <si>
    <t>12.1.</t>
  </si>
  <si>
    <t>12.2.</t>
  </si>
  <si>
    <t>12.4.</t>
  </si>
  <si>
    <t>22.8.12.</t>
  </si>
  <si>
    <t>13.1.</t>
  </si>
  <si>
    <t>13.2.</t>
  </si>
  <si>
    <t>13.4.</t>
  </si>
  <si>
    <t>13.5.</t>
  </si>
  <si>
    <t>14.4.</t>
  </si>
  <si>
    <t>14.1.</t>
  </si>
  <si>
    <t>14.2.</t>
  </si>
  <si>
    <t>15.1.</t>
  </si>
  <si>
    <t>15.2.</t>
  </si>
  <si>
    <t>16.</t>
  </si>
  <si>
    <t>16.1.</t>
  </si>
  <si>
    <t>12.6.</t>
  </si>
  <si>
    <t>8.1.</t>
  </si>
  <si>
    <t>7.1.</t>
  </si>
  <si>
    <t>7.2.</t>
  </si>
  <si>
    <t>23*2,5</t>
  </si>
  <si>
    <t>((21,30*21,20) +(0,50*4,10) +(0,60*1,0) +(0,5*2,0))*1,60</t>
  </si>
  <si>
    <t>((21,30*21,20) +(0,50*4,10) +(0,60*1,0) +(0,5*2,0))*0,60</t>
  </si>
  <si>
    <t xml:space="preserve">(((7,0*5,6)*7) +((7,45*7,0)*2))*0,70)  </t>
  </si>
  <si>
    <t>((((7,0+20,30+7,0)*2)*0,55)*0,15) +((20,30*5,35)*0,15)</t>
  </si>
  <si>
    <t>(((21,30*1,0)*2)*0,15) +((20,30*5,35)*0,15) +((20,30*20,40)*0,15) +((0,50*4,10)*0,15) +((0,6*1,0)*0,15) +((0,5*1,95)*0,15) +(((7,0*4)*0,25)*0,15)</t>
  </si>
  <si>
    <t>5.6.</t>
  </si>
  <si>
    <t>5.7.</t>
  </si>
  <si>
    <t>m</t>
  </si>
  <si>
    <t>5.8.</t>
  </si>
  <si>
    <t>267/450</t>
  </si>
  <si>
    <t>831/450</t>
  </si>
  <si>
    <t>8.2.</t>
  </si>
  <si>
    <t>140/60</t>
  </si>
  <si>
    <t>15.3.</t>
  </si>
  <si>
    <t>Zidarski radovi</t>
  </si>
  <si>
    <t>((1,54*3,55)*0,25)*8</t>
  </si>
  <si>
    <t>(((4,85+5,15+5,15+1,65+1,65)*3,40)*0,25) +(((0,6*1,54)*0,25)*10)</t>
  </si>
  <si>
    <t>((20,66 +10,0 +6,90 +5,85 +5,85 +4,85 +1,65 +1,65)*4,30)*0,25</t>
  </si>
  <si>
    <t>(((4,85+1,65+1,65)*3,40)*0,25) +(((1,54*0,6)*0,25)*10)</t>
  </si>
  <si>
    <t>(((4,85+4,85+1,65+1,65)*0,25)*1,90)</t>
  </si>
  <si>
    <t>((2,65*6) +(20,70*2) +(2,0+1,65+1,65) +(0,25*4))*4,30</t>
  </si>
  <si>
    <t>Odbiti</t>
  </si>
  <si>
    <t>(1,54*3,55)*8) +(0,9*2,2)*18) +(4,0*4,3)*4) +(1,5*2,2)*4) +(0,5*3,55) +(2,7*4,30) +(1,8*2,2)</t>
  </si>
  <si>
    <t>((2,65*6) +(20,70*2) +(2,0+1,65+1,65) +(0,25*4))*3,40</t>
  </si>
  <si>
    <t>(1,54*2,80)*11) +(0,9*2,2)*18) +(4,0*3,4)*4) +(1,5*2,2)*4) +(1,10*2,80) +(2,7*3,40) +(1,8*2,2)</t>
  </si>
  <si>
    <t>(4,95 +6,40 +2,0 +6,40 +1,65 +1,65 +4,0 +6,40)*1,9</t>
  </si>
  <si>
    <t>(21,30*13,45) +(7,50*8,5) +(21,3*13,45) +(21,4*13,45) +(3,0*8,50)</t>
  </si>
  <si>
    <t>(20,70*7,75) +(20,70*4,85)+(20,70*7,75)</t>
  </si>
  <si>
    <t>(2,5*1,65) +(5,0*3,05)</t>
  </si>
  <si>
    <t>(6,4*4,85)</t>
  </si>
  <si>
    <t>3.4.</t>
  </si>
  <si>
    <t>((6,0*6)*1,45) +(6,0*0,25)*6)</t>
  </si>
  <si>
    <t>3.5.</t>
  </si>
  <si>
    <t>Betonski radovi</t>
  </si>
  <si>
    <t>20,40*20,30</t>
  </si>
  <si>
    <t>(((8,18*3)*0,20)*4,30) +(6,05*0,20)*4,30) +(7,30*0,2)*2)*4,30) +(8,25*0,2)*2)*4,3) +(4,9+2,0)*0,2)*4,30)</t>
  </si>
  <si>
    <t>(((0,8*2,3)*0,2)*4) +(((0,9*2,30)*0,2)*3) +(((1,5*2,30)*0,2)*2) +((1,45*2,30)*0,2)</t>
  </si>
  <si>
    <t>(((6,75*2)*0,2)*1,90) +(((4,9+2,0)*0,2)*1,90)</t>
  </si>
  <si>
    <t>(((8,18*3)*0,20)*3,40) +((6,05*0,20)*3,40) +(((7,30*0,2)*2)*3,40) +(((8,25*0,2)*2)*3,4) +(((4,9+2,0)*0,2)*3,40)</t>
  </si>
  <si>
    <t>(((8,18*3)*0,20)*3,40) +(6,05*0,20)*3,40) +(7,30*0,2)*2)*4,30) +(8,25*0,2)*2)*3,4) +(4,9+2,0)*0,2)*3,40)</t>
  </si>
  <si>
    <t>((0,4*0,2)*4,3)*10</t>
  </si>
  <si>
    <t>((0,4*0,2)*3,4)*10</t>
  </si>
  <si>
    <t>(((2,5+1,65)*2)*1,7)*0,15</t>
  </si>
  <si>
    <t>(21,7*21,07)*0,2</t>
  </si>
  <si>
    <t>((1,65*2,5) +(4,88*3,05))*0,2</t>
  </si>
  <si>
    <t>(((4,0*1,4)*6)*0,15) +(((1,45*3,05)*3)*0,17)</t>
  </si>
  <si>
    <t>((((0,29*0,165)/2)*12)*1,45)*6</t>
  </si>
  <si>
    <t>Pasarela</t>
  </si>
  <si>
    <t>(2,80+9,10)/2)*4,07)*0,20</t>
  </si>
  <si>
    <t>(((0,3*0,3)*4)*4,8) +((0,25*0,9)*4,8)</t>
  </si>
  <si>
    <t>(((0,2*0,25)*3,40)*3) +((0,3*0,8)*9,10) +((0,3*0,8)*2,80) +((0,3*0,8)*4,10) +((0,3*0,8)*6,60) +((0,3*0,8)*1,90)</t>
  </si>
  <si>
    <t>8,88+48,05+8,09+10,10+9,54+28,25+6,72 +10,69+5,74+27,97+13,33+8,39+13,33 +27,97+16,79+19,18+18,65+2,22+48,31 +4,97+27,18</t>
  </si>
  <si>
    <t>4.10</t>
  </si>
  <si>
    <t>26,59+8,68+9,52+21,23+21,41+4,06+7,94 +10,04+8,05+18,39+18,21+18,25+8,52 +10,75+18,39+18,11+18,58+106,68+13,56 +2,15+27,09</t>
  </si>
  <si>
    <t>26,59+11,49+18,4+18,25+18,25+18,54 +18,11+11,13+13,95+18,10+18,39+18,25 +18,30+8,73+10,75+18,25+104,1+7,65+7,65 +2,22</t>
  </si>
  <si>
    <t>Tesarski radovi</t>
  </si>
  <si>
    <t>(((21,30+21,20)*2)*0,5) +((19,18*2)*0,50) +(((2,9+2,0)*2)*1,70)</t>
  </si>
  <si>
    <t>(((21,30+21,20)*2)*1,0) +(((0,7+0,7)*19,30)*2)</t>
  </si>
  <si>
    <t>(((8,18*4,3)*3)*2) +(6,05*4,3)*2) +(7,30*4,3)*2)*2) +(8,25*4,3)*2)*2) +(4,9+4,3)*2)*2)</t>
  </si>
  <si>
    <t>(((6,75*1,9)*2)*2) +(((4,9+1,9)*2)*2)</t>
  </si>
  <si>
    <t>(((2,5+1,7)*2)*2)</t>
  </si>
  <si>
    <t>((6,0*1,45)*6) +((4,0*0,23)*6)</t>
  </si>
  <si>
    <t>((1,45*0,165)*13)*6)</t>
  </si>
  <si>
    <t>(((0,4+0,2)*2)*4,3)*10</t>
  </si>
  <si>
    <t>(((0,4+0,2)*2)*3,4)*10</t>
  </si>
  <si>
    <t>((((0,3+0,3)*2)*4)*4,8) +(((0,25+0,9)*2)*4,8)</t>
  </si>
  <si>
    <t>(((0,2+0,25+0,25)*3,40)*3) +((0,3+0,8+0,8)*9,10) +((0,3+0,8+0,8)*2,80) +((0,3+0,8+0,8)*4,10) +((0,3+0,8+0,8)*6,60) +((0,3+0,8+0,8)*1,90)</t>
  </si>
  <si>
    <t>((1,65*2,5) +(4,88*3,05))</t>
  </si>
  <si>
    <t>(5,25*5,08)*0,2</t>
  </si>
  <si>
    <t>(21,7*21,07) +(((21,7+21,07)*2)*0,2) +(((1,65+2,5)*2)*0,2) +(((4,88+3,05)*2)*0,2)</t>
  </si>
  <si>
    <t>(5,25*5,08) +(((5,25+5,08)*2)*0,2)</t>
  </si>
  <si>
    <t>(((2,80+9,10)/2)*4,07) +(((2,80+9,10)/2)*0,2)</t>
  </si>
  <si>
    <t>Izolaterski radovi</t>
  </si>
  <si>
    <t>(21,30*21,18) +(((21,30+21,18)*2)*0,2) +(((2,30+3,10)*2)*2,0)</t>
  </si>
  <si>
    <t>(14,71+6,76+1,71) +((31,68+18,46+5,25)*0,15)</t>
  </si>
  <si>
    <t>(14,15+6,38+1,89) +((37,30+20,50+5,36)*0,15</t>
  </si>
  <si>
    <t>(14,16+6,38+1,89) +((37,3+20,5+5,36)*0,15)</t>
  </si>
  <si>
    <t>6.2.</t>
  </si>
  <si>
    <t xml:space="preserve">(20,66*7,75) +(4,85*15,80) +(9,95*7,75) +(6,95*7,75) +(3,30*7,75) +(2,10*1,65) +(((2,8+9,10)/2)*4,07) </t>
  </si>
  <si>
    <t xml:space="preserve">(20,66*7,75) +(4,85*15,80) +(9,95*7,75) +(6,95*7,75) +(3,30*7,75) +(2,10*1,65) </t>
  </si>
  <si>
    <t>(4,20*6)+1,45</t>
  </si>
  <si>
    <t>Bravarski radovi</t>
  </si>
  <si>
    <t>(10,20*2)*21,10) +(2,30*2)*6,65)</t>
  </si>
  <si>
    <t>6,85*5,50</t>
  </si>
  <si>
    <t>Limarski radovi</t>
  </si>
  <si>
    <t>10.2.</t>
  </si>
  <si>
    <t>((21,10+21,10)*1,40) +((6,65+6,65)*1,0)</t>
  </si>
  <si>
    <t>(12,7*4) +(1,2*4)</t>
  </si>
  <si>
    <t>((21,30+21,40)*2 +((5,50+6,95)*2)</t>
  </si>
  <si>
    <t>10.6.</t>
  </si>
  <si>
    <t>(31,68+18,46+5,25)*3,25</t>
  </si>
  <si>
    <t>(37,30+20,50+5,36)*2,70</t>
  </si>
  <si>
    <t>(37,3+20,5+5,36)*2,70</t>
  </si>
  <si>
    <t>Keramičarski radovi</t>
  </si>
  <si>
    <t>(31,68+18,46+5,25) +(37,30+20,50+5,36) +(37,3+20,5+5,36)</t>
  </si>
  <si>
    <t>(4,30*2,20) +(3,05*2,2)</t>
  </si>
  <si>
    <t>(3,05*2,7) +((2,0*2,2)*7) +(5,6*2,7) +(5,5*2,7)</t>
  </si>
  <si>
    <t>((1,10*2,2)*3) +((2,0*2,2)*3)</t>
  </si>
  <si>
    <t>((2,0*2,7)*7) +((5,50*2,70)*2) +(2,5*2,7) +(1,10*2,2)*2</t>
  </si>
  <si>
    <t>((0,8*2,2)*17)*3</t>
  </si>
  <si>
    <t>(3,7+4,85+4,85+4,85+1,55+(1,9*3))*4,10</t>
  </si>
  <si>
    <t>(5,60+4,66+5,6+2,0+4,85+4,85 +7,30+5,60)*4,10</t>
  </si>
  <si>
    <t>((0,9*2,2)*6) +(3,14*1,3)</t>
  </si>
  <si>
    <t xml:space="preserve">(20,68 +(5,60*5) +3,55 +0,65 +10,07 +(5,60*3) +1,40 +2,10 +3,30 +3,45 +3,50 +2,65 +4,85+4,2) *3,40 </t>
  </si>
  <si>
    <t>0,9*2,2*16) +(4,2*1,3)</t>
  </si>
  <si>
    <t>(3,7+4,85+4,85+4,85+1,55+(1,9*6))*3,40</t>
  </si>
  <si>
    <t xml:space="preserve">(20,68 +(5,60*5) +3,55 +0,65 +10,07 +(5,60*5) +1,40 +2,10 +3,30 +3,45 +3,50 +2,65 +4,85+4,2) *3,40 </t>
  </si>
  <si>
    <t>((0,9*2,2*16) +(5,2*1,3)</t>
  </si>
  <si>
    <t>suvomontažni radovi</t>
  </si>
  <si>
    <t>12.3.</t>
  </si>
  <si>
    <t>(1,6*4,3) +((1,6*3,4)*2)</t>
  </si>
  <si>
    <t>(7,72 +4,85+ 7,72 +7,15 +(5,60*4) +7,0 +(1,6*4) +(1,25*2) +8,5 +(1,65*2) +5,6)*4,3</t>
  </si>
  <si>
    <t>(0,9*2,2)*19</t>
  </si>
  <si>
    <t>12.5.</t>
  </si>
  <si>
    <t>9,54+28,25+10,69+27,97+13,33+8,39 +13,33+27,97+16,79</t>
  </si>
  <si>
    <t>8,88+48,05+8,09+10,10+6,72+5,74+19,18 +18,65+2,22+14,71+6,76+1,71+48,31</t>
  </si>
  <si>
    <t>26,59+8,68+9,52+21,23+23,41+4,06+7,94 +10,04+8,05+18,39+18,21+18,25+8,52 +10,75+18,39+18,11+18,58+14,15+6,38        +1,89 +106,68+27,09</t>
  </si>
  <si>
    <t>26,59+11,49+18,40+18,25+18,25+18,54 +18,11+11,13+18,10+18,39+18,25+18,30 +10,75+18,25+14,16+6,38+1,89+104,10 +7,65+7,65</t>
  </si>
  <si>
    <t>9,54+28,25+10,69+5,74+27,97+13,33+8,39+13,33+27,97+16,79+19,18+18,65+2,22+4,97</t>
  </si>
  <si>
    <t>18,39+18,21+18,25+18,39+13,56</t>
  </si>
  <si>
    <t>(17,80+17,80+17,80+17,75+23,40)*0,15</t>
  </si>
  <si>
    <t>(14,61+21,28+15,02+21,19+18,9+13,16+18,9+21,19+21,25+22,1+21,91+6,0+9,90)*0,15</t>
  </si>
  <si>
    <t>18,54+18,10+18,39+18,25+18,30+18,25+7,65+7,65</t>
  </si>
  <si>
    <t>(17,8+17,7+17,80+17,8+17,8+17,8+13,40+13,40)*0,15</t>
  </si>
  <si>
    <t>podopolagački radovi</t>
  </si>
  <si>
    <t>8,8+48,05+8,09+10,10+6,72+48,31+27,18</t>
  </si>
  <si>
    <t>(11,87+34,04+11,53+14,02+13,6+64,31+28,97)*0,15</t>
  </si>
  <si>
    <t>26,59+8,68+9,52+21,23+23,41+4,06+7,94+10,04+8,05+8,52+10,75+18,11+18,58+106,68+2,15+27,09</t>
  </si>
  <si>
    <t>(20,0+11,73+12,33+19,35+19,47+8,07+13,92+12,72+10,41+11,90+13,20+17,70+17,57+96,66+5,89+23,74)*0,15</t>
  </si>
  <si>
    <t>26,59+11,49+18,40+18,25+18,25+18,11+11,13+13,95+8,73+10,75+104,10+2,22</t>
  </si>
  <si>
    <t>(20,0+14,92+13,85+17,80+17,80+17,70+13,35+16,41+11,90+13,20+96,66+6,0)*0,15</t>
  </si>
  <si>
    <t>Zidovi</t>
  </si>
  <si>
    <t>Plafoni</t>
  </si>
  <si>
    <t>(((0,9*2,20)*2)*2)*26) +((1,54*2,75)*6) +((2,45*3,25)*3) +(1,8*3,25) +(3,15*1,30) +((4,0*3,25)*4)</t>
  </si>
  <si>
    <t xml:space="preserve">((20,0+11,73+12,33+19,35+19,47+8,07 +13,92+12,72+10,41+17,8+17,8+17,8+11,9 +13,2+17,75+17,70+17,87+5,36+96,66 +23,40+5,89)*2,80) </t>
  </si>
  <si>
    <t xml:space="preserve">((11,87+34,04+11,53+14,02+14,61+21,28 +13,60+15,02+9,74+21,19+18,90+13,16 +18,90+21,19+21,25+22,10+21,91+6+5,25 +64,31+9,90+7,49+28,97)*3,25) </t>
  </si>
  <si>
    <t>(26,59+8,68+9,52+21,23+23,41+4,06+7,94+10,04+8,05+18,39+18,21+18,25+8,52+10,75+18,39+18,11+18,58+14,15+6,38+1,89+106,68+13,56+2,15+27,09) +((6,30+6,30)*1,45)</t>
  </si>
  <si>
    <t>(20,0+14,92+13,85+17,80+17,80+17,80 +17,70+13,35+16,41+17,70+17,80+17,80 +17,80+11,90+13,20+17,80+5,36+96,66 +13,40+13,40+6,0)*2,80</t>
  </si>
  <si>
    <t>(((0,9*2,2)*2)*27) +((1,54*2,8)*11) +(1,8*2,8) +((2,54*2)*1,3) +((2,5*2)*1,30) +((4,0*2,8)*4) +(2,7*3,40)</t>
  </si>
  <si>
    <t>(((0,9*2,2)*2)*27) +((1,54*2,8)*11) +(1,8*2,8) +(2,7*3,4) +((4,0*2,8)*4) +(2,20*1,30) +(4,40*1,30)</t>
  </si>
  <si>
    <t>(26,59+11,49+18,40+18,25+18,25+18,54+18,11+11,13+13,95+18,10+18,39+18,25+18,30+8,73+10,75+18,25+14,16+6,38+1,89+104,10+7,65+7,65+2,22) +((6,30+6,30)*1,45)</t>
  </si>
  <si>
    <t>Molerski radovi</t>
  </si>
  <si>
    <t>plafoni</t>
  </si>
  <si>
    <t>(8,88+48,05+8,09+10,10+9,54+28,25+6,72 +10,96+5,74+27,97+13,33+8,39+13,33 +27,97+16,79+19,18+18,65+2,22+14,71 +6,76+1,71+48,31+4,97)+((6,30+6,30)*1,45)</t>
  </si>
  <si>
    <t>14.3.</t>
  </si>
  <si>
    <t xml:space="preserve">((11,87+34,04+11,53+14,02+14,61+21,28 +13,60+15,02+9,74+21,19+18,90+13,16 +18,90+21,19+21,25+22,10+21,91+6+5,25 +64,31+9,90+7,49+28,97)*0,78) </t>
  </si>
  <si>
    <t>(8,88+48,05+8,09+10,10+9,54+28,25+6,72 +10,96+5,74+27,97+13,33+8,39+13,33 +27,97+16,79+19,18+18,65+2,22+14,71 +6,76+1,71+48,31+4,97)</t>
  </si>
  <si>
    <t xml:space="preserve">((20,0+11,73+12,33+19,35+19,47+8,07 +13,92+12,72+10,41+17,8+17,8+17,8+11,9 +13,2+17,75+17,70+17,87+5,36+96,66 +23,40+5,89)*0,58) </t>
  </si>
  <si>
    <t>(26,59+8,68+9,52+21,23+23,41+4,06+7,94+10,04+8,05+18,39+18,21+18,25+8,52+10,75+18,39+18,11+18,58+14,15+6,38+1,89+106,68+13,56+2,15+27,09)</t>
  </si>
  <si>
    <t>(26,59+11,49+18,40+18,25+18,25+18,54+18,11+11,13+13,95+18,10+18,39+18,25+18,30+8,73+10,75+18,25+14,16+6,38+1,89+104,10+7,65+7,65+2,22)</t>
  </si>
  <si>
    <t>Lift Okno iznutra</t>
  </si>
  <si>
    <t>((2,5+2,5+1,65)*15,55)</t>
  </si>
  <si>
    <t>(4,85+1,5+1,80+4,9+3,05+6,40)*1,90</t>
  </si>
  <si>
    <t>(4,85*1,55)+(4,9*3,05)</t>
  </si>
  <si>
    <t>Fasaderski radovi</t>
  </si>
  <si>
    <t>(21,30*4,60) +(21,30*4,60) +(21,40*4,60)</t>
  </si>
  <si>
    <t>((0,5*4,15)*3) +((1,52*4,15)*2)</t>
  </si>
  <si>
    <t>(0,5*4,15) +((1,52*4,15)*4) +(3,04*3,65)</t>
  </si>
  <si>
    <t>(1,52*4,15)+ (2,20*1,81)</t>
  </si>
  <si>
    <t>ODBITI</t>
  </si>
  <si>
    <t>455,82+455,82+455,82</t>
  </si>
  <si>
    <t>(4,07*7,5)</t>
  </si>
  <si>
    <t xml:space="preserve">((1,52*7,32)*12) +((0,5*3,66)*2) +(1,52*3,42) +(4,46*4,50) </t>
  </si>
  <si>
    <t>(21,30*8,85) +(21,30*8,85) +(21,40*8,85) +((5,5+7,0)*2)*3,0)</t>
  </si>
  <si>
    <t>9.2.</t>
  </si>
  <si>
    <t>180/220</t>
  </si>
  <si>
    <t>304/404</t>
  </si>
  <si>
    <t>152/1147</t>
  </si>
  <si>
    <t>152/732+415</t>
  </si>
  <si>
    <t>152+50/732+415</t>
  </si>
  <si>
    <t>50/415</t>
  </si>
  <si>
    <t>65/366</t>
  </si>
  <si>
    <t>152/342</t>
  </si>
  <si>
    <t>313/130</t>
  </si>
  <si>
    <t>334/220 +130</t>
  </si>
  <si>
    <t>377+60+60/220+130</t>
  </si>
  <si>
    <t>524/220+130</t>
  </si>
  <si>
    <t>(((1,0*0,5) 
+(0,45*0,5)) *(21,18+21,18+21,30+21,30)) +((5,35*19,20)*0,50) 
+((0,5*4,10)*0,5) 
+((0,6*1,0)*0,5) 
+((0,5*1,95)*0,5) 
+(((0,25*0,70)*20,40)*2) 
+((2,9*2,10)*0,5)</t>
  </si>
  <si>
    <t>(((8,18*3,4)*3)*2) 
+((6,05*3,4)*2) 
+(((7,30*3,4)*2)*2) 
+(((8,25*3,4)*2)*2) 
+(((4,9+3,4)*2)*2)</t>
  </si>
  <si>
    <t xml:space="preserve">(20,66*7,75) +(4,85*15,80) +(9,95*7,75) 
+(6,95*7,75) +(3,30*7,75) +(4,9*3,05) 
+(2,10*1,65) </t>
  </si>
  <si>
    <t>(((0,9*2,2)*2)*27)+((1,54*2,8)*11)+(1,8*2,8) +(2,7*3,4)+((4,0*2,8)*4)+(2,20*1,30)+(4,40*1,30)</t>
  </si>
  <si>
    <t>2</t>
  </si>
  <si>
    <t>kom.</t>
  </si>
  <si>
    <t>(11,0*6,0)*0,8)</t>
  </si>
  <si>
    <t>((2,75+3,5)/2)*3,75</t>
  </si>
  <si>
    <t>9,60*4,40</t>
  </si>
  <si>
    <t>4,85*3,30</t>
  </si>
  <si>
    <t>1.6.</t>
  </si>
  <si>
    <t>740-12,2</t>
  </si>
  <si>
    <t>1.7.</t>
  </si>
  <si>
    <t>(((3,3*3,3)*1,65)/2) +((3,3*1,65)*1,7)</t>
  </si>
  <si>
    <t>1.8.</t>
  </si>
  <si>
    <t>1.9.</t>
  </si>
  <si>
    <t>((5,0*13,29*)0,45) +((22,35*1,80)*0,45) +((2,30*10,0)*0,45)</t>
  </si>
  <si>
    <t>((15,0*0,2)*0,9) +((14,7*0,2)*0,9) +(((13,0+1,0)*0,2)*0,9)</t>
  </si>
  <si>
    <t>44*0,2</t>
  </si>
  <si>
    <t>((5,0*13,29*)*0,2) +((22,35*1,80)*0,2) +((2,30*10,0)*0,20)</t>
  </si>
  <si>
    <t>2.5.</t>
  </si>
  <si>
    <t>(21*0,25) +((3,10+2,65)/2) + (((0,23+1,15)/2)*1,80) +(7,2*1,15) +((((4,5*1,5)*0,23)/2)*2)</t>
  </si>
  <si>
    <t>2.6.</t>
  </si>
  <si>
    <t>44,0*0,2</t>
  </si>
  <si>
    <t>2.7.</t>
  </si>
  <si>
    <t>(((3,10+4,10+3,80+3,10+5,80)*1,25)*0,2) +(((2,65+3,55+1,8+3,0)*0,2)*2,15) +(((1,55+1,5)*0,2)*1,10) +((((4,5+4,5)*4)*0,2)*1,0)</t>
  </si>
  <si>
    <t>20,70+7,20</t>
  </si>
  <si>
    <t>((4,5*1,5)*2)</t>
  </si>
  <si>
    <t>((2,10*2,85)*0,15) +((1,5*1,35)*0,15) +((1,5*1,5)*0,15)</t>
  </si>
  <si>
    <t>(5,0*13,29*) +(22,35*1,80) +(2,30*10,0)</t>
  </si>
  <si>
    <t>3.6.</t>
  </si>
  <si>
    <t>53+26</t>
  </si>
  <si>
    <t>3.7.</t>
  </si>
  <si>
    <t>3.8.</t>
  </si>
  <si>
    <t>((4,5*4)*0,5) +((1,5*4)*0,5) +(2,3*0,5) +(4,50*1,35) +((2,5+3,10)*0,5) +(1,50*0,5) +(5,10*1,35) +(6,0*1,10) +(5,8*0,5) +(6,0*1,40)</t>
  </si>
  <si>
    <t>(2,8*6) +(1,35*4) +(1,65*4)</t>
  </si>
  <si>
    <t>((4,5*0,5)*2) +((6,0*1,35)+1,3) +((6,0*1,0)+1,30) +(((0,9*4)+2,3)*4,0)</t>
  </si>
  <si>
    <t>(6,50+6,30)*4,0</t>
  </si>
  <si>
    <t>7.3.</t>
  </si>
  <si>
    <t>7.4.</t>
  </si>
  <si>
    <t>kpl.</t>
  </si>
  <si>
    <t>1</t>
  </si>
  <si>
    <t>1.1</t>
  </si>
  <si>
    <t>1.2</t>
  </si>
  <si>
    <t>1.3</t>
  </si>
  <si>
    <t>1.4</t>
  </si>
  <si>
    <t>1.5</t>
  </si>
  <si>
    <t>1.7</t>
  </si>
  <si>
    <t>1.8</t>
  </si>
  <si>
    <t>2,1</t>
  </si>
  <si>
    <t>2.2</t>
  </si>
  <si>
    <t>2.3</t>
  </si>
  <si>
    <t>2.4</t>
  </si>
  <si>
    <t>2.5</t>
  </si>
  <si>
    <t>2.6</t>
  </si>
  <si>
    <t>2.7</t>
  </si>
  <si>
    <t>2.8</t>
  </si>
  <si>
    <t>2.9</t>
  </si>
  <si>
    <t>2.10</t>
  </si>
  <si>
    <t>2.11</t>
  </si>
  <si>
    <t>2.12</t>
  </si>
  <si>
    <t>2.13</t>
  </si>
  <si>
    <t>8.0</t>
  </si>
  <si>
    <t>`</t>
  </si>
  <si>
    <t>9</t>
  </si>
  <si>
    <t>1 - 2/1</t>
  </si>
  <si>
    <t>3</t>
  </si>
  <si>
    <t>4</t>
  </si>
  <si>
    <t>5/1</t>
  </si>
  <si>
    <t>5/2</t>
  </si>
  <si>
    <t>8</t>
  </si>
  <si>
    <t>6/2</t>
  </si>
  <si>
    <t>5</t>
  </si>
  <si>
    <t>ø 6,4</t>
  </si>
  <si>
    <t>ø 9,5</t>
  </si>
  <si>
    <t>ø 12,7</t>
  </si>
  <si>
    <t>ø 15,9</t>
  </si>
  <si>
    <t>ø 19,1</t>
  </si>
  <si>
    <t>ø 22,2</t>
  </si>
  <si>
    <t>ø 28,6</t>
  </si>
  <si>
    <t>ø30</t>
  </si>
  <si>
    <t>ø50</t>
  </si>
  <si>
    <t>Φ100</t>
  </si>
  <si>
    <t>Φ150</t>
  </si>
  <si>
    <t>Φ250</t>
  </si>
  <si>
    <t>Φ250/150</t>
  </si>
  <si>
    <t>Φ250/250</t>
  </si>
  <si>
    <t>Φ100/100</t>
  </si>
  <si>
    <t>17.</t>
  </si>
  <si>
    <t>18.</t>
  </si>
  <si>
    <t>19.</t>
  </si>
  <si>
    <t>20.</t>
  </si>
  <si>
    <t>ø100</t>
  </si>
  <si>
    <t>21.</t>
  </si>
  <si>
    <t>MPC</t>
  </si>
  <si>
    <t>VPC</t>
  </si>
  <si>
    <t>kg/m</t>
  </si>
  <si>
    <t>obim</t>
  </si>
  <si>
    <t>površina</t>
  </si>
  <si>
    <t>kg/kom</t>
  </si>
  <si>
    <t>6/1</t>
  </si>
  <si>
    <t>Ред.  Број</t>
  </si>
  <si>
    <t>Шиф.поз.</t>
  </si>
  <si>
    <t>Опис позиције</t>
  </si>
  <si>
    <t>Јед. Мере</t>
  </si>
  <si>
    <t>Количина радова</t>
  </si>
  <si>
    <t>Јединачна цена</t>
  </si>
  <si>
    <t>Износ у РСД.</t>
  </si>
  <si>
    <t>ПРИПРЕМНИ РАДОВИ</t>
  </si>
  <si>
    <t>Ручна сеча стабла пречника до 30цм и више, са вађењем пања и корена.</t>
  </si>
  <si>
    <t>Обрачун по комаду</t>
  </si>
  <si>
    <t>ком</t>
  </si>
  <si>
    <t>Одвоз шута из дворишта објекта Дома здравља Кула.</t>
  </si>
  <si>
    <t>Обрачун по м3</t>
  </si>
  <si>
    <t>м3</t>
  </si>
  <si>
    <t>Пажљиво рушење приземног објекта, на месту, где је предвиђена изградња пасареле. </t>
  </si>
  <si>
    <t>Предузети све мере за безбедност радника и суседних објеката.</t>
  </si>
  <si>
    <t>Пре почетка рушења инсталацију која се налази у објекту, демонтирати а прикључке осигурати, да не дође до хаварије.</t>
  </si>
  <si>
    <t>Цена ставке сдржи комплетно уклањање приземне зграде, заједно са подном плочом и темељима.</t>
  </si>
  <si>
    <t>Обрачун по м2 бруто површине</t>
  </si>
  <si>
    <t>м2</t>
  </si>
  <si>
    <t>Пажљива демонтажа надстрешнице за возила хитне помоћи.</t>
  </si>
  <si>
    <t>Приликом демонтаже водити рачуна да се делови не оштете, због касније монтаже на другој локацији.</t>
  </si>
  <si>
    <t>Поновна монтжа надстрешнице није предмет овог предмера.</t>
  </si>
  <si>
    <t>Пажљива демонтажа надстрешнице на 
главном улазу у постојећи објекат дома здравља.</t>
  </si>
  <si>
    <t>Приликом демонтаже водити рачуна да се делови не оштете.</t>
  </si>
  <si>
    <t>Припрема бетонираних површина, у дворишту за репарацију, поправку.</t>
  </si>
  <si>
    <t xml:space="preserve">Бетонску површину очистити од шута, 
прашине и опрати.  </t>
  </si>
  <si>
    <t>Тако припремљену подлогу пажљиво прегледати, пукотине санирати полимерним материјалом, погодним за санирање бетонских површина.</t>
  </si>
  <si>
    <t xml:space="preserve">Након сушења, горњу површину обрадити сачмом. </t>
  </si>
  <si>
    <t>Цена ставке садржи набавку потребног материјала, израду, сав транспорт, као и сав помоћни материјал.</t>
  </si>
  <si>
    <t>Обрачун по м2</t>
  </si>
  <si>
    <t>Рушење степеништа извести пажљиво. Цена ставке садржи и сечење арматуре, уклањање насипа испод степеништа и све остале евентуалне радове.</t>
  </si>
  <si>
    <t>Рушење стаза од асфалта са свим слојевима, дебљине до 20 цм. На делу новопројектованог улаза у Дом здравља.</t>
  </si>
  <si>
    <t>Рушење бетонских површина са свим слојевима, дебљине до цца 30 цм. На делу новопројектованог улаза у Дом здравља.</t>
  </si>
  <si>
    <t>УКУПНО ПРИПРЕМНИ РАДОВИ:</t>
  </si>
  <si>
    <t>Ископану земљу превести ручним колицима и депоновати на привременој градилишној депонији.</t>
  </si>
  <si>
    <t xml:space="preserve">Дубина ископа цца 90цм. Ископ извести према пројекту и датим котама. Бочне стране правилно одсећи а дно нивелисати тачношћу, ±2цм. </t>
  </si>
  <si>
    <t>Ископану земљу превеyати ручним колицима и депоновати на привременој градилишној депонији.</t>
  </si>
  <si>
    <t xml:space="preserve">Дубина ископа цца 20цм. Ископ извести према пројекту и датим котама. Бочне стране правилно одсећи а дно нивелисати тачношћу, ±2цм. </t>
  </si>
  <si>
    <t>Ископану земљу превезати ручним колицима и депоновати на привременој градилишној депонији.</t>
  </si>
  <si>
    <t>Набавка, транспорт, разастирање у слојевима, набијање и фино планирање тампон слоја од природног шљунка испод новопројектованих бетонских површина.</t>
  </si>
  <si>
    <t>Цена ставке садржи набавку потребног материјала, сав транспорт и израду.</t>
  </si>
  <si>
    <t xml:space="preserve">Горњу површину испланирати са тачношћу ±2цм, равне површине, и косине. </t>
  </si>
  <si>
    <t>Приликом израде водити рачуна о висинским котама датим у пројекту.</t>
  </si>
  <si>
    <t>Набавка, утовар, довоз и разастирање плодне чисте земље.</t>
  </si>
  <si>
    <t>Земљу обликовати по пројекту са давањем надвишења (надмера) од 20% како би после слегања земља заузела пројектоване коте. Извршити фино планирање и ваљање дрвеним ваљком.</t>
  </si>
  <si>
    <t>Ручни утовар и одвоз вишка земље са привремене градилишне депоније.</t>
  </si>
  <si>
    <t>БЕТОНСКИ И АРМИРАНО БЕТОНСКИ РАДОВИ</t>
  </si>
  <si>
    <t>Темеље армирати по пројекту, детаљима и статичком прорачуну.</t>
  </si>
  <si>
    <t>Бетонирање радити преко претходно разастртог тампон слоја од шљунка. Бетон уградити и неговати по прописима.</t>
  </si>
  <si>
    <t>Обрачун по м3 уграђеног бетона.</t>
  </si>
  <si>
    <t>Израда армирано бетонског пода, улазног платоа, дебљине 12цм, у приземљу објекта, бетоном марке МБ25.</t>
  </si>
  <si>
    <t>Под армирати мрежастом арматуром, према пројекту и статичком прорачуну и уградити бетон.</t>
  </si>
  <si>
    <t>Цементну кошуљицу израдити истовремено са изррадон бетонског пода, загладити металном хоблом и горњу површину обрадити јежом, да се добије неклизајућа побршина.</t>
  </si>
  <si>
    <t>Цена ставке садржи набавку потребног материјала, сав транспорт, израду.</t>
  </si>
  <si>
    <t>Израда армирано бетонске косине рампе за хендикепиране, на новоформираном улазу у Дом здравља, дебљине 15цм, у приземљу објекта, бетоном марке МБ25.</t>
  </si>
  <si>
    <t>Цементну кошуљицу израдити истовремено са израдон косине рампе, загладити металном хоблом и горњу површину обрадити јежом, да се добије неклизајућа побршина.</t>
  </si>
  <si>
    <t>Израда бетонских степеника од армираног бетона, бетон марке МБ25.</t>
  </si>
  <si>
    <t>Степенике бетонирати заједно са косом плочом, преко припремљене подлоге од шљунка. Бетон уградити и неговати по прописима.</t>
  </si>
  <si>
    <t>Цена ставке садржи набавку потребног материјала, сав транспорт, набавку сечење савијање и монтажу бетонског жељеза и израду плоча.</t>
  </si>
  <si>
    <t>Израда платоа од лако армираног бетона, дебљине 15цм, марке МБ30.</t>
  </si>
  <si>
    <t>Плато армирати мрежастом арматуром, по статичком прорачуну и бетонирати. Горњу површину стазе обрадити пердашењем. Бетон неговати.</t>
  </si>
  <si>
    <t>Прилоком израде формирати падове према пројектној документацији. Саства са постојећим платоом мора да буде у истој равни.</t>
  </si>
  <si>
    <t>Стаза је дебљине д=12цм, ради се на припремљеном тампон слоју од природног шљунка.</t>
  </si>
  <si>
    <t>Стазу армирати по пројекту, детаљима и статичком прорачуну. Приликом израде формирати падове према пројекту. Бетон уградити и неговати по прописима.</t>
  </si>
  <si>
    <t>Цементну кошуљицу израдити истовремено са 
израдон стазе, загладити металном хоблом 
и горњу површину обрадити јежом, да се добије неклизајућа површина.</t>
  </si>
  <si>
    <t>Санација припремљених површина постојећег бетонског платоа полимерним материјалом у слоју дебљине 7-12мм.</t>
  </si>
  <si>
    <t>Масу за уградњу припремити мешањем 
прашкасте и течне компоненте, а према 
упутству произвођача. Припремљену смесу 
нанети преко чисте, отпрашене, чврсте и 
овлажене бетонске подлоге.</t>
  </si>
  <si>
    <t>Приликом израде формирати падове за одвод атмосферске воде.</t>
  </si>
  <si>
    <t>Обрачун по метру дужном</t>
  </si>
  <si>
    <t>м</t>
  </si>
  <si>
    <t>УКУПНО БЕТОНСКИ  РАДОВИ:</t>
  </si>
  <si>
    <t>ТЕСАРСКИ РАДОВИ</t>
  </si>
  <si>
    <t>Набавка,материјала, израда, монтажа и демонтажа двостране оплате за бетонирање тракастих темеља, видна страна је глатка оплата за натур бетон.</t>
  </si>
  <si>
    <t>Оплату израдити од јелове грађе ИИ класе, односно готових плоча адекватне дебљине, по тачно означеним мерама и премазати је старим уљем или сличним средством. Демонтирати је пажљиво и без потреса.</t>
  </si>
  <si>
    <t xml:space="preserve">Цена ставке садржи набавку потребног материјала, сав транспорт, израду. </t>
  </si>
  <si>
    <t>Набавка, постављање и демонтажа дашчане оплате за бетонирање степеника.</t>
  </si>
  <si>
    <t>Оплату израдити од јелове грађе ИИ класе, хобловане са једне стране, односно готових плоча адекватне дебљине и фетни са подупирачима, по тачно означеним мерама и премазати је старим уљем или сличним средством. Демонтирати је пажљиво и без потреса.</t>
  </si>
  <si>
    <t>Цена ставке садржи набавку потребног материјала, израду, монтажу и демонтажу, као и сав транспорт.</t>
  </si>
  <si>
    <t>Обрачун по м</t>
  </si>
  <si>
    <t>УКУПНО ТЕСАРСКИ РАДОВИ:</t>
  </si>
  <si>
    <t>БРАВАРСКИ РАДОВИ</t>
  </si>
  <si>
    <t>Израда и постављање ограде прилазне рампе.</t>
  </si>
  <si>
    <t>Ограду израдити и уградити по детаљима и упутству пројектанта. Спојеве и варове идеално израдити, очистити и обрусити.</t>
  </si>
  <si>
    <t>Вертикални носачи кутијасти профили 40x40мм х=120цм, се фиксирају за рампу анкер плочама шрафљењем. На анкер плоче поставити розетну од иноx лима. Рукохват је од кутијастог профила 40x40мм.</t>
  </si>
  <si>
    <t>Ограду радити од полираних нерђајућих елемената, према шеми браварије.</t>
  </si>
  <si>
    <t xml:space="preserve">Цена ставке садржи набавку потребног материјала, радионичку израду, сав транспорт, финалну обраду фарбањем и противпожарни премаз. </t>
  </si>
  <si>
    <t>обрачун по метру дужном</t>
  </si>
  <si>
    <t>мд</t>
  </si>
  <si>
    <t>УКУПНО БРАВАРСКИ РАДОВИ:</t>
  </si>
  <si>
    <t>МОЛЕРСКО ФАРБАРСКИ РАДОВИ</t>
  </si>
  <si>
    <t>Бојење трасе саобраћаја у дворишном делу објекта.</t>
  </si>
  <si>
    <t>Ивице површине где се одвија саобраћај означити жутом цртом, ширине 120мм, према шеми саобраћајнице, паркинг места исцртати белом линијом, исте ширине.</t>
  </si>
  <si>
    <t>За обележавање користити брзосушећу акрилну боју, за означавање путева, паркинга и терена, са високим нивоом адхезивности, и одликама трајношћу и високом рефлексијом.</t>
  </si>
  <si>
    <t>Цена ставке садржи набавку потребног материјала, сав транспорт  и израду.</t>
  </si>
  <si>
    <t>жута 138+35+43</t>
  </si>
  <si>
    <t>бела 28,40+15+36,40+25+14,60+14,60</t>
  </si>
  <si>
    <t>Бојење стрелица, смер саобраћаја у дворишном делу објекта.</t>
  </si>
  <si>
    <t>Облик, распоред и величина стрелица, дато у детаљима и у пројектној документацији</t>
  </si>
  <si>
    <t>За бојење користити брзосушећу акрилну боју, за означавање путева, паркинга и терена, са високим нивоом адхезивности, и одликама трајношћу и високом рефлексијом.</t>
  </si>
  <si>
    <t>Бојење видљивих делова, новопројектованог улаза, дисперзионом фасадном бојом.</t>
  </si>
  <si>
    <t>Боје се бочне стране рампи, АБ зид, код степеништа.</t>
  </si>
  <si>
    <t>Бојење извести са свим потребним предрадњама, и припремом површина.</t>
  </si>
  <si>
    <t xml:space="preserve">Боја и тон треба да је идентична као боја на постојећој фасади. </t>
  </si>
  <si>
    <t>Цена ставке садржи набавку потребног материјала, монтажу и демонтажу лаке покретне скеле, сав транспорт  и израду.</t>
  </si>
  <si>
    <t>Бојење дела фасаде, постојеће зграде Дома здравља, код новопројектованог улаза, дисперзионом фасадном бојом.</t>
  </si>
  <si>
    <t>УКУПНО МОЛЕРСКО ФАРБАРСКИ РАДОВИ:</t>
  </si>
  <si>
    <t>Набавка и постављање АБ жардињера.</t>
  </si>
  <si>
    <t>Жардињере су димензије 100x120x150цм, финално обојене у бело, бојом за бетон.</t>
  </si>
  <si>
    <t>обрачун по комаду</t>
  </si>
  <si>
    <t>Набавка, постављање и анкерисање канти за смеће.</t>
  </si>
  <si>
    <t xml:space="preserve">Канте за смеће се раде од материјала дрво-метал, према шеми из пројекта, финално офарбаних, анкеришу се за бетонску подлогу. </t>
  </si>
  <si>
    <t xml:space="preserve">Цена ставке садржи набавку, постављање на одређено место према пројекту. </t>
  </si>
  <si>
    <t>Набавка и постављање сталка за бицикле</t>
  </si>
  <si>
    <t>Сталак за бицикле је дужине 300цм, рађен од челичних профила према шеми из пројекта, финално офарбан и заштићен.</t>
  </si>
  <si>
    <t>Набавка и постављање клупа</t>
  </si>
  <si>
    <t>Рам клупе је од челичних профила, док је седални део од сушеног дрвета високог квалитета обраде.</t>
  </si>
  <si>
    <t>клупу радити према шеми из пројект, финална обрада фарбање челичних и лакирање дрвених делова.</t>
  </si>
  <si>
    <t>Набавка и постављање информативне табле на улазу у дом здравља.</t>
  </si>
  <si>
    <t>Рам је од нерђајућих челичних профила,               за коју је причвршћена табла од нерђајућег челичног лима. Димензија табле је 270x100x15, и анкерише се за бетонску подлогу. Таблу израдити према шеми из пројекта.</t>
  </si>
  <si>
    <t xml:space="preserve">Цена ставке садржи набавку, постављање на одређено место према пројекту, са свим натписима, које одреди Инвеститор. </t>
  </si>
  <si>
    <t>РЕКАПИТУЛАЦИЈА</t>
  </si>
  <si>
    <t>БЕТОНСКИ И АБ РАДОВИ</t>
  </si>
  <si>
    <t>СВЕГА:</t>
  </si>
  <si>
    <t>ЗБИРНА РЕКАПИТУЛАЦИЈА</t>
  </si>
  <si>
    <t>Рб.</t>
  </si>
  <si>
    <t>Бр 
Свеске</t>
  </si>
  <si>
    <t>Назив</t>
  </si>
  <si>
    <t>ГРАЂЕВИНСКО ЗАНАТСКИ РАДОВИ</t>
  </si>
  <si>
    <t>ЕЛЕКТРОЕНЕРГЕТСКЕ ИНСТАЛАЦИЈА</t>
  </si>
  <si>
    <t>ТЕЛЕКОМ. И СИГНАЛНЕ ИНСТАЛАЦИЈЕ</t>
  </si>
  <si>
    <t>ДОЈАВА ПОЖАРА</t>
  </si>
  <si>
    <t>ПРОЈЕКАТ МАШИНСКИХ ИНСТАЛАЦИЈА</t>
  </si>
  <si>
    <t>ПРОЈЕКАТ ЛИФТА</t>
  </si>
  <si>
    <t>САОБРАЋАЈНА СИГНАЛИЗАЦИЈА</t>
  </si>
  <si>
    <t>ПОРЕЗ НА ДОДАТУ ВРЕДНОСТ ПДВ 20%:</t>
  </si>
  <si>
    <t>Поз.</t>
  </si>
  <si>
    <t>НАЗИВ</t>
  </si>
  <si>
    <t>Јед.
мере</t>
  </si>
  <si>
    <t xml:space="preserve">Кол. </t>
  </si>
  <si>
    <t>Јединична цена (РСД)</t>
  </si>
  <si>
    <t xml:space="preserve">ИЗНОС
(РСД)                                                                   </t>
  </si>
  <si>
    <t>СИСТЕМ ЗА АУТАОМАТСКУ ДОЈАВУ ПОЖАРА</t>
  </si>
  <si>
    <t>Набавка, испорука, монтажа и повезивање:
Централа за дојаву пожара која садржи:
- матичну плочу са главним процесором; матична плоча садржи напојњу јединицу са пуњачем батерија, меморијску СД картицу, УСБ 1.1 интерфејс за прикључење ПЦ. 
- контролно управљачки панел са ЛЦД екраном са 6 редова/40 карактера у сваком реду, садржи 2 програмабилна слободна тастера, 2 програмабилна слободна 3-бојна ЛЕД индикатора, испис на српском језику, подршку за сва латинична слова у српском језику, приказ 5 статусних листа (аларми, грешке, искључења, активирања, остало), приказ искључења/укључења зона, излаза, улаза, петљи.
Карактеристике централе:
- 1 адресабилна петља, за прикључење (капацитета) до 250 адресабилних елемената (јављача пожара) у петљи;
- дужина петље је до 3500м;
- 2 мониторисана излаза за звучну сигнализацију и даљинску дојаву аларма;
- 2  мониторисана улаза
- могућност програмирања логичких једначина за активирање излаза,
- интегрисан ЛАН ТЦП/ИП прикључак, 100МБ/с
- простор за 2 аку батерије 12В/7,2Ах за рад без мрежног напајања 72х+0,5х.
Централа поседује програмабилну двозонску зависност, програмабилно двостепено време кашњења и интервенције, аутоматско препознавање запрљаности детектора
Централа треба да поседује могућност аутоматског слања емаил порука са информацијама о свом стању на унапред одређене емаил адресе
Централа је произведена у складу са ЕН 54-2, ЕН 54-4 и ЕН 54-13
Тип: ИП БX,  Схцрацк-Сецонет АГ/Аустрија или одговарајуће</t>
  </si>
  <si>
    <t>Набавка, испорука, монтажа и повезивање:
Акумулаторска батерија, 12В. 7Ах за резервно напајање система минимално 72х сата у мирном и 30 минута у алармном режиму у случају испада мрежног напајања</t>
  </si>
  <si>
    <t>Испорука и инсталација софтвера за даљински мониторинг система уживо (онлине) који тренутно приказује комплетно стање система са функцијом искачућих битних обавештења (попуп wиндоw) у комплету са софтверским модулом који омогућава потпуну даљински приступ преко ТЦП/ИП мреже систему за аутоматску сигнализацију пожара са рачунара, Софтвер омогућава тренутни увид у стање централне јединице и потпуну контролу рада система (двосмерна комуникацију), односно омогућава надзор и извршавање свих функција са удаљене локације путем ТЦП/ИП једнако као што се исте могу извршити непосредно и директно на самој централној јединици система</t>
  </si>
  <si>
    <t>Набавка, испорука, монтажа и повезивање:
Уређај за аутомтаску дојаву у случају аларма или квара на систему и снимљене говорне пруке и смс поруке на унапред одређене телефонске бројеве путем ГСМ мреже (на мин 8 различитих бројева).</t>
  </si>
  <si>
    <t>Набавка, испорука, монтажа и повезивање:
Интерактивни комбиновани детектор, може бити конфигурисан као оптички детектор, термички детектор или комбиновани оптичко-термички детектор у складу са ЕН 54-7 и ЕН 54-5 нормама, за рану детекцију тињајућих и отворених пожара са појавом дима или без дима; оптички део детектора поседује аутоматску адаптацију на стање околине у којој је (аутоматско подешавање/усклађивање осетљивости у зависности од амбијенталне темепратуре); детектор поседује могућност програмског подешавања прага аларма и перманентног само-надзора у циљу аутоматске интерактивне адаптације; садржи интегрисани изолатор петље; програмско додељивање адресе и аутоматско препознавање јединственог серијског броја детектора; радна температура -25°/+60°Ц, дозвољена влажност 70% перманентно, 95% краткотрајно. Степене заштите ИП 40 (са базом), кућиште од АБС пластике
Тип: МТД 533X, Схцрацк-Сецонет АГ/Аустрија или одговарајуће</t>
  </si>
  <si>
    <t>Набавка, испорука, монтажа и повезивање:
Стандардна детекторска база, за прикључење аутоматских детектора на петљу, од АБС пластике.
Тип: УСБ 501-6, Схцрацк-Сецонет АГ/Аустрија или одговарајуће</t>
  </si>
  <si>
    <t>Набавка, испорука, монтажа и повезивање:
Ручни јављач пожара, за рад у адресабилној петљи, у складу са ЕН54-11, активација ломом стакла; ЛЕД индикација аларма; интегрисани изолатор петље, степен заштите ИП24,  црвене боје.
Тип:МЦП 545X-1Р, Сцхрацк-Сецонет АГ/Аустрија или одговарајуће</t>
  </si>
  <si>
    <t>Набавка, испорука, монтажа и повезивање:
Ручни јављач пожара, за рад у адресабилној петљи, у складу са ЕН54-11, активација ломом стакла; ЛЕД индикација аларма; интегрисани изолатор петље, степен заштите ИП67,  црвене боје.
Тип:МЦП 545X-3Р, Сцхрацк-Сецонет АГ/Аустрија или одговарајуће</t>
  </si>
  <si>
    <t>Набавка, испорука, монтажа и повезивање:
Адресабилна алармна сирена,  за рад у адресној петљи,  за унутрашње просторе (према ЕН54-3). Интегрисани изолатор петље. Напајање из петље, потрошња 4,7мА, регулација гласности 89-99дБ/м, избор тона, црвене боје, радна температура  -10°/+55°Ц
Тип: БX-СОЛ, Сцхрацк-Сецонет АГ/Аустрија или одговарајуће</t>
  </si>
  <si>
    <t>Набавка, испорука и полагање у савитљива безхалогена црева и означавање сигналног кабела, изнад спуштеног плафона, комплет са цревима и свим потребним радовима и помоћним материјалом, тип бесхалогеног кабла: Ј-Х(Ст)Х 2x2x0,8мм</t>
  </si>
  <si>
    <t>Набавка, испорука и полагање у одговарајуће ватроотпорне обујмице и означавање сигналног кабела, комплет са обујмицама и свим потребним радовима и помоћним материјалом, тип кабла: Ј-Х(Ст)Х Фе180/30 2x2x0,8мм</t>
  </si>
  <si>
    <t>Набавка, уградња у постојећи разводни ормар, означавање и спајање аутоматског осигурача за прикљуĉење напојног кабела, комплет са свим потребним радовима и помоћним материјалом: Аутоматски осигураĉ 10А</t>
  </si>
  <si>
    <t>Сви неспецифицирани радови и монтажни и потрошни материјал као каблови, разводне кутије, маса за заптивање продора, везице, налепнице, типле и вијци, двострано лепљива трака и сл., а неопходан за постизавање пуне функционалности и поштовања важећих техничких прописа у струци.</t>
  </si>
  <si>
    <t>Пуштање система у рад. Услуга обухвата:
- Комплетно програмирање и конфигурисање централе система за дојаву пожара и провера свих функција система уз вођење примо-предајног протокола и записника о функционаном испитивању
- Обука радника за руковање системом према препорукама произвођача
- Израда и предаја Алармног плана система аутоматске детекције и дојаве пожара, Упутства за руковање на српском језику, упутства за одржавање, контролне књиге одржавања и списка елемената петље
- Примопредаја система наручиоцу (предаја техничке документације и ЕН и СРПС сертификате и атесте увезене опреме)</t>
  </si>
  <si>
    <t>Израда и испорука пројекта изведеног стања инсталације у 4 примерка у штампаној форми и у електронској варзији у дwг формату на оптичком медијуму (ЦДу)</t>
  </si>
  <si>
    <t>Укупно пореска основица:</t>
  </si>
  <si>
    <t>20% ПДВ:</t>
  </si>
  <si>
    <t>Укупно:</t>
  </si>
  <si>
    <t>број поз.</t>
  </si>
  <si>
    <t>опис радова</t>
  </si>
  <si>
    <t>јединица мере</t>
  </si>
  <si>
    <t>количина радова</t>
  </si>
  <si>
    <t>јединична цена</t>
  </si>
  <si>
    <t>износ динара</t>
  </si>
  <si>
    <t>ИЗРАДА САОБРАЋАЈНЕ СИГНАЛИЗАЦИЈЕ</t>
  </si>
  <si>
    <t>а) знаци изричитих наредби</t>
  </si>
  <si>
    <t>округли, ИИ-3 (забрана саобраћаја у оба смера), фи 600мм, класа И</t>
  </si>
  <si>
    <t>округли, ИИ-43 (обавезан смер право), фи 600мм, класа И</t>
  </si>
  <si>
    <t>б) знаци обавештења</t>
  </si>
  <si>
    <t>правоугаоник, ИВ-5 (допунска табла "Осим за возила Дома здравља"), странице 600x250мм, класа И</t>
  </si>
  <si>
    <t xml:space="preserve">ц) једностубни цевни носачи </t>
  </si>
  <si>
    <t>једностубни цевни носачи дужине 3,65 м</t>
  </si>
  <si>
    <t>а) место за паркинг</t>
  </si>
  <si>
    <t>линија беле боје, ширине 0,10м</t>
  </si>
  <si>
    <t>ПРЕДМЕР И ПРЕДРАЧУН РАДОВА</t>
  </si>
  <si>
    <t>САОБРАЋАЈНА СИГНАЛИЗАЦИЈА У КРУГУ</t>
  </si>
  <si>
    <t xml:space="preserve">ЗДРАВСТВЕНОГ ОБЈЕКТА СПЕЦИЈАЛИСТИЧКИХ СЛУЖБИ У КУЛИ  </t>
  </si>
  <si>
    <t>ПРЕДМЕР И ПРЕДРАЧУН</t>
  </si>
  <si>
    <t>Пројектоване опреме постројења путничког лифта за објекат:</t>
  </si>
  <si>
    <t>Врста и намена лифта:</t>
  </si>
  <si>
    <t>Број лифтова:</t>
  </si>
  <si>
    <t>Корисна носивост</t>
  </si>
  <si>
    <t>Брзина дизања:</t>
  </si>
  <si>
    <t>Број станица/прилаза:</t>
  </si>
  <si>
    <t>Висина дизања:</t>
  </si>
  <si>
    <t>Погонско постројење:</t>
  </si>
  <si>
    <t>Носећа ужад:</t>
  </si>
  <si>
    <t>Ужетњача на врху клипа:</t>
  </si>
  <si>
    <t>Управљање:</t>
  </si>
  <si>
    <t>Сигнализација:</t>
  </si>
  <si>
    <t>Електрични прикључак:</t>
  </si>
  <si>
    <t>Електрична инсталација:</t>
  </si>
  <si>
    <t>Вођице кабине и клипа са припадајућом опремом за учвршћење:</t>
  </si>
  <si>
    <t>Врата возног окна:</t>
  </si>
  <si>
    <t>Панели и штокови:</t>
  </si>
  <si>
    <t>Кабина:</t>
  </si>
  <si>
    <t>Димензија кабине:</t>
  </si>
  <si>
    <t>Обрада кабине:</t>
  </si>
  <si>
    <t>Кабинска врата:</t>
  </si>
  <si>
    <t>Панели:</t>
  </si>
  <si>
    <t>Возно окно:</t>
  </si>
  <si>
    <t>Димензије возног окна:</t>
  </si>
  <si>
    <t>Еквипотенцијализација возног окна:</t>
  </si>
  <si>
    <t>Сигурност:</t>
  </si>
  <si>
    <t>Дубина јаме возног окна:</t>
  </si>
  <si>
    <t>Машинска просторија:</t>
  </si>
  <si>
    <t>Положај машинске просторије:</t>
  </si>
  <si>
    <t>Додатна опрема у машинској просторији:</t>
  </si>
  <si>
    <t>Вентилација машинске просторије и возног окна:</t>
  </si>
  <si>
    <t>путнички</t>
  </si>
  <si>
    <t>Q=1000 кг</t>
  </si>
  <si>
    <t>В=0.4 м/с</t>
  </si>
  <si>
    <t>3/3 ( Пр, 1, 2)</t>
  </si>
  <si>
    <t>Х=7.95 м</t>
  </si>
  <si>
    <t xml:space="preserve">Хидраулички агрегат са вентилском групом и цилиндром  125 л/мин, 120 л, 11 кW, клип 110x5 мм, </t>
  </si>
  <si>
    <t>5  x ø11 мм</t>
  </si>
  <si>
    <t>ø 450 мм</t>
  </si>
  <si>
    <t>“Симплеx”, сабирно у оба смера, са позивним и регистар кутијама, за 3 станице, потврда пријема позива, контрола запоседнутости, са припадајућом електро инсталацијом,</t>
  </si>
  <si>
    <t>на свим станицама, дигитални положај кабине, и светлосни сигнал смера даљег кретања; у кабини, дигитални показивач положаја кабине, тастер  за отварање врата, тастер аларма, нужно светло;</t>
  </si>
  <si>
    <t>Погонски напон 3 x 380/220 В, 50 Хз на главном прекидачу лифта, поред улаза у машинској просторији, са аутоматским осигурачима 3 x 32 А, расвета возног окна са наизменичним прекидачем у машинској просторији и јами возног окна, са прекидачем светла кабине и команде, монофазне прикључнице са заштитним контактом у машинској просторији и јами возног окна;</t>
  </si>
  <si>
    <t>За суви простор у машинској просторији и возном окну, крајњи прекидачи у возном окну, станични прекидачи велике и мале брзине, електрични сигурносни контакти, пратећи кабел кабине, пластични канали за полагање електро проводника;</t>
  </si>
  <si>
    <t>Т 90 x 75 x 16</t>
  </si>
  <si>
    <t>Аутоматска-телескопска, 900x2000 мм, са припадајућом опремом;</t>
  </si>
  <si>
    <t>Заштићени бојом</t>
  </si>
  <si>
    <t>Изведена у носећем челичном раму са уређајем за тренутно кочење, уређајем за изједначавањем оптерећења ужади и електричну контролу затегнутости, уређај за контролу запоседнутости;</t>
  </si>
  <si>
    <t>1100x2100x2200 мм</t>
  </si>
  <si>
    <t>Метална, стандардни тип; 
унутрашњост: завршна обрада пластични ламинат; споља: премаз антикорозивне заштите; 
под: линолеум; 
осветљење: флуоросцентно у спуштеном плаф. 
опрема: огледало, рукохват и вентилатор</t>
  </si>
  <si>
    <t>Аутоматска-телескопска, 900x2000 мм</t>
  </si>
  <si>
    <t>Прохром</t>
  </si>
  <si>
    <t>Бетонско</t>
  </si>
  <si>
    <t>ширина/дубина: 1650/2480мм
висина возног окна: 12900 мм
задња спратна висина: 3500 мм</t>
  </si>
  <si>
    <t>Повезивање металних маса у јами возног окна и прикључења на громбранску инсталацију објекта;</t>
  </si>
  <si>
    <t>У случају нестанка струје, лифт се спушта на прву нижу станицу и отвара врата 
лифт се повезује са противпожарном централом, уколико дође до пожара лифт се спушта на најнижу станицу, отвара врата и искључује из рада.</t>
  </si>
  <si>
    <t>1400 мм</t>
  </si>
  <si>
    <t>Озидана у приземљу</t>
  </si>
  <si>
    <t>У приземљу иза возног окна;</t>
  </si>
  <si>
    <t>Метална канта, изолациона простирка испред електро енергетских табли, електро и хидрауличке шеме, апарат за гашење пожара;</t>
  </si>
  <si>
    <t>Природна</t>
  </si>
  <si>
    <t>усисним и потисним вентилатором</t>
  </si>
  <si>
    <t>ком.</t>
  </si>
  <si>
    <t>плафонских јединица са четворосмерним</t>
  </si>
  <si>
    <t>Б. ЦЕВНА МРЕЖА И ПРИБОР</t>
  </si>
  <si>
    <t>Набавка и монтажа меких бакарних</t>
  </si>
  <si>
    <t>цеви у котуру и тврдих бакарних цеви</t>
  </si>
  <si>
    <t>у шипкама, одмашћених за клима системе</t>
  </si>
  <si>
    <t>ТЕЧНА ФАЗА</t>
  </si>
  <si>
    <t>ГАСНА ФАЗА</t>
  </si>
  <si>
    <t>предходне ставке:</t>
  </si>
  <si>
    <t>компл.</t>
  </si>
  <si>
    <t>Набавка и монтажа танкозидних ПЕ цеви</t>
  </si>
  <si>
    <t>за одвод кондензата</t>
  </si>
  <si>
    <t>слично 40% од предходне ставке.</t>
  </si>
  <si>
    <t>Набавка и монтажа префабриковане изолације,</t>
  </si>
  <si>
    <t>са парном браном за изолацију елемената</t>
  </si>
  <si>
    <t>бакарног развода и цеви за одвод кондезата</t>
  </si>
  <si>
    <t>мин дебљине 19 мм., комплет са изолационом</t>
  </si>
  <si>
    <t>траком</t>
  </si>
  <si>
    <t>Вакумирање завршне инсталације и додавање ра-</t>
  </si>
  <si>
    <t>схладног медијума, Р410А</t>
  </si>
  <si>
    <t>кг</t>
  </si>
  <si>
    <t>оклопљеног кабла 2x1мм</t>
  </si>
  <si>
    <t>СВЕГА Ц:</t>
  </si>
  <si>
    <t>Д. ВЕНТИЛАЦИЈА</t>
  </si>
  <si>
    <t>Испорука и монтажа каналског аксијалног</t>
  </si>
  <si>
    <t>вентилатора за убацивање и извлачење ваздуха.</t>
  </si>
  <si>
    <t>напон 230 В</t>
  </si>
  <si>
    <t>ел снага 59 W</t>
  </si>
  <si>
    <t>ел снага 30 W</t>
  </si>
  <si>
    <t>Испорука и уградња кружног анемостата</t>
  </si>
  <si>
    <t>Испорука и монтажа самоподизних жалузина</t>
  </si>
  <si>
    <t>Набавка и монтажа алуминијумских</t>
  </si>
  <si>
    <t>растеретних решетки за ваздух са против-</t>
  </si>
  <si>
    <t>оквиром за уградњу у врата.</t>
  </si>
  <si>
    <t>Израда, испорука и монтажа лимених правоугаоних</t>
  </si>
  <si>
    <t>канала од поцинкованог лима за монтажу</t>
  </si>
  <si>
    <t>решетки</t>
  </si>
  <si>
    <t>0.8 мм</t>
  </si>
  <si>
    <t>Помоћни материјал неопходан за монтажу канала.</t>
  </si>
  <si>
    <t>50 % од претходне ставке.</t>
  </si>
  <si>
    <t>Изолација канала на систему вентилације са рекуп.</t>
  </si>
  <si>
    <t>изолацијом са парном браном дебљине 19 мм.</t>
  </si>
  <si>
    <t>Набавка и монтажа спиралних канала од</t>
  </si>
  <si>
    <t>поцинкованог лима</t>
  </si>
  <si>
    <t>кг.</t>
  </si>
  <si>
    <t>Набавка и монтажа редукција</t>
  </si>
  <si>
    <t>Набавка и монтажа Т - комада</t>
  </si>
  <si>
    <t>Набавка и монтажа колена 90°</t>
  </si>
  <si>
    <t>Набавка и монтажа колена 45°</t>
  </si>
  <si>
    <t>Набавка и монтажа носача, вешаљки, заптивних</t>
  </si>
  <si>
    <t>самолепивих трака и ситног прибора за ваздушне канале</t>
  </si>
  <si>
    <t>20% од тежине канала</t>
  </si>
  <si>
    <t>Испорука и монтажа флексибилних веза за довод</t>
  </si>
  <si>
    <t>свежег ваздуха на дистрибутивне елементе.</t>
  </si>
  <si>
    <t>за избацивање и увлачење ваздуха са окца 10 мм</t>
  </si>
  <si>
    <t>следећих димензија</t>
  </si>
  <si>
    <t>Испорука и уградња сифона за одвод кондензата</t>
  </si>
  <si>
    <t>са унутрашњих јединица клима система против</t>
  </si>
  <si>
    <t>непријатних мириса.</t>
  </si>
  <si>
    <t>СВЕГА Д:</t>
  </si>
  <si>
    <t>Е. ОСТАЛИ РАДОВИ</t>
  </si>
  <si>
    <t>Облагање изолације цевних елемената</t>
  </si>
  <si>
    <t>спољашњих јединица плаштом од Ал-у лима</t>
  </si>
  <si>
    <t>дебљине 0.6 мм</t>
  </si>
  <si>
    <t>Пробијање отвора кроз зидове и</t>
  </si>
  <si>
    <t>медјуспратну конструкцију са монтажом</t>
  </si>
  <si>
    <t>штуцни од ребрастих ПВЦ цеви на</t>
  </si>
  <si>
    <t>разводне цеви, на местима продора</t>
  </si>
  <si>
    <t>и израда пролаза испод врата</t>
  </si>
  <si>
    <t>Испитивање цевне инсталације на херметичност</t>
  </si>
  <si>
    <t>и чврстоћу према препоруци произвођача опреме.</t>
  </si>
  <si>
    <t>у трајању од два дана.</t>
  </si>
  <si>
    <t>Набавка заптивне масе и заптивање цевовода</t>
  </si>
  <si>
    <t>који пролази кроз противпожарни зид заптивном масом</t>
  </si>
  <si>
    <t>отпорности према пожару 120мин.</t>
  </si>
  <si>
    <t>Припремно завршни радови</t>
  </si>
  <si>
    <t>са примопредајом инсталације</t>
  </si>
  <si>
    <t>паушално</t>
  </si>
  <si>
    <t>СВЕГА Е:</t>
  </si>
  <si>
    <t>ПРЕДМЕР И ПРЕДРАЧУН РАДОВА -
ТЕЛЕКОМУНИКАЦИОНЕ И СИГНАЛНЕ ИНСТАЛАЦИЈЕ</t>
  </si>
  <si>
    <t>Напомена:</t>
  </si>
  <si>
    <t>Редни
број</t>
  </si>
  <si>
    <t>Број
позиције</t>
  </si>
  <si>
    <t>ОПИС ПОЗИЦИЈЕ</t>
  </si>
  <si>
    <t>Јед. 
мере</t>
  </si>
  <si>
    <t>Количина</t>
  </si>
  <si>
    <t>укупна цена (дин)</t>
  </si>
  <si>
    <t>- Вентилаторски панел са 3 вентилатора и термостатом (тзв. кровни)</t>
  </si>
  <si>
    <t>- Напојна шина са минимално 6 утичница 230Вац, 50Хз и аутоматским прекидачем</t>
  </si>
  <si>
    <t>- Фиксна полица 19", 750мм, за рацк орман дубине 800мм, висине 1ХУ, носивости 70 кг</t>
  </si>
  <si>
    <t>Набавка, испорука и монтажа.</t>
  </si>
  <si>
    <t>компл</t>
  </si>
  <si>
    <t>Модуларни патцх панел, висине 2ХУ, за монтажу у 19" рацк орман, намењен за терминирање до 48 С/ФТП каблова. Комплет се састоји од:</t>
  </si>
  <si>
    <t>РЈ-45 модул Цат 6, схиелдед, за уградњу у патцх панел .</t>
  </si>
  <si>
    <t>Набавка, испорука, монтажа панела у рацк орман и конектовање РЈ-45 модула на кабловску инсталацију.</t>
  </si>
  <si>
    <t>комплет</t>
  </si>
  <si>
    <t>Модуларни патцх панел, висине 1ХУ, за монтажу у 19" рацк орман, намењен за терминирање до 24 С/ФТП каблова. Комплет се састоји од:</t>
  </si>
  <si>
    <t>Модуларни воице патцх панел, за монтажу у 19" рацк орман, патцх панел Цат.3, 50xРЈ45, УТП, 4 пина</t>
  </si>
  <si>
    <t>оптички патцх кабел ЛЦ-ЛЦ  дузина 1 метар</t>
  </si>
  <si>
    <t>Испорука, полагање и увезивање на оба краја кабла типа ЈХ(Ст)Х 20x2x0,6мм ДСЛ од ИТО ормана до рацк ормана. Обрачун по дужном метру кабла.</t>
  </si>
  <si>
    <t>Испорука и уградња изводног телефонског ормана ИТО-2 опремљеног са ранжирним реглетама, натписним таблицама бравицом са кључем, димезије 590x360x125мм.</t>
  </si>
  <si>
    <t>Испитивање линкова и атестирање линија.</t>
  </si>
  <si>
    <t>паушал</t>
  </si>
  <si>
    <t>Испитивање ФО линкова</t>
  </si>
  <si>
    <t>Остали ситан непредвиђени материјал ( шрафови, типле, обујмице, кабел-уводнице, ранжирне жице, ознаке за С/ФТП каблове, ...) (све у ХФ изведби) и радови</t>
  </si>
  <si>
    <t>Испитивање инсталације, обелезавање, ранзирање, прибављање атеста, спремно за употребу.</t>
  </si>
  <si>
    <t>Б Систем видео надзора</t>
  </si>
  <si>
    <t>Б 1</t>
  </si>
  <si>
    <t>Б 2</t>
  </si>
  <si>
    <t>Б 3</t>
  </si>
  <si>
    <t>Сервер рачунар минимално следећих карактеристика:
• Интел ЦПУ и7-4770К
• 8ГБ РАМ
• ХДД 2x4ТБ + 120Гб ССД (за оперативни систем)
• ДВД-РW
• 2xЛАН 10/100/1000МБ
• 19" рацк моунт кућиште са шинама
• 500W напајање
• Видео картица (може и интегрисана)
• Wиндоwс 7 Профессионал 64битни
Испорука, монтажа и повезивање.</t>
  </si>
  <si>
    <t>Б 4</t>
  </si>
  <si>
    <t>Бранд наме рачунар, Интел и5 процесор, 4ГБ РАМ, 500ГБ ХДД, миш, тастатура, 24" ТФТ монитор - Клијентска радна станица за мониторинг и преглед видео материјала.</t>
  </si>
  <si>
    <t>Б 5</t>
  </si>
  <si>
    <t>Б 6</t>
  </si>
  <si>
    <t>Б 7</t>
  </si>
  <si>
    <t>Испитивање инсталације, обелезавање, ранзирање, прибављање атеста, програмирање и пуштање система у рад, обука корисника, спремно за употребу.</t>
  </si>
  <si>
    <t>Напомена:
ПоЕ сwитцх димензионисан у оквиру СКС система</t>
  </si>
  <si>
    <t>Б Систем видео надзора укупно</t>
  </si>
  <si>
    <t>Но</t>
  </si>
  <si>
    <t>ОПИС ПОЗИЦИЈА</t>
  </si>
  <si>
    <t>ЈЕДИНИЦА МЕРЕ_x000D_
И КОЛИЧИНА</t>
  </si>
  <si>
    <t>ЈЕДИНИЧНА_x000D_
ЦЕНА У ДИН</t>
  </si>
  <si>
    <t>УКУПНА ЦЕНА_x000D_
У ДИН</t>
  </si>
  <si>
    <t>НАПАЈАЊЕ ОБЈЕКТА</t>
  </si>
  <si>
    <t xml:space="preserve"> Испорука, полагање у ров и повезивање на оба краја напојних каблова типа ПП00- А одговарајућег пресека, положених од ТС до КПК-1 на објекту.</t>
  </si>
  <si>
    <t>2  кабла ПП00  4x150мм2</t>
  </si>
  <si>
    <t xml:space="preserve"> Испорука, полагање у ров и повезивање на оба краја напојног кабла типа ПП00- А одговарајућег пресека, положеног ос ДЕА до КПК-3 на објекту.</t>
  </si>
  <si>
    <t>ПП00  4x50мм2</t>
  </si>
  <si>
    <t>Испорука и уградња кабловске прикључне кутије КПК-1  са осигурачким основама НВ500/500А.  Ова кутија се поставља на фасаду објекта и у њу се уводе каблови који напајају ГРО 1 и ГРО-2</t>
  </si>
  <si>
    <t>Испорука и уградња кабловске прикључне кутије КПК-2 са осигурачким основама НВ250/2000А.  Ова кутија се поставља на фасаду објекта и у њу се уводе каблови који напајају ГРО-3</t>
  </si>
  <si>
    <t>Испорука и уградња кабловске прикључне кутије КПК-3 са осигурачким основама НВ125/125А.  Ова кутија се поставља на фасаду објекта и у њу се уводе каблови који напајају ГРО-1 Д од ДЕА до КПК</t>
  </si>
  <si>
    <t xml:space="preserve">Испорука и уградња кабловске прикључне кутије КПК-4 са осигурачким основама НВ100/35А.( За напајање лифта и хидроцила) Кабловска кутија се напаја са КПК-1 кратком везом  </t>
  </si>
  <si>
    <t xml:space="preserve">Заптивање свих продора каблова кроз противпожарне препреке и премазивање каблова и регала у дужини од 1м лево и десно од продора премазом који има ватроотпорност адекватну ватроотпорности препрека.Плаћа се просечна цена по продору. За примењени материјал и систем заштите каблова потребно је обезбедити одговарајући доказ којим се потврђује захтевана ватроотпорност продора каблова. </t>
  </si>
  <si>
    <t>Испоручити коруговане цеви фи 110 за заштиту енергетских каблова  . Плаћа се дужном метру цеви</t>
  </si>
  <si>
    <t>УКУПНО ПОД 1</t>
  </si>
  <si>
    <t>РАЗВОД ЕЛ.ЕНЕРГИЈЕ И РАЗВОДНИ ОРМАНИ</t>
  </si>
  <si>
    <t>Испорука и монтажа разводног ормана електроенергетског развода означеног у графичкој  документацији  овога пројекта са ГРО-1. Орман треба да буде подељен по вертикали на три одвојена дела:</t>
  </si>
  <si>
    <t xml:space="preserve">И део  за развод мрежног напајања </t>
  </si>
  <si>
    <t>ИИ део  за развод напајања из дизелелектричног</t>
  </si>
  <si>
    <t xml:space="preserve">ИИИ део  за развод напајања из УПС уређаја </t>
  </si>
  <si>
    <t xml:space="preserve">У орман  уградити  следећу  електро  опрему а све према одговарајућој једнополној  шеми: </t>
  </si>
  <si>
    <t xml:space="preserve"> -главни прекидач електроенергетског развода мрежног напајања  0-1; Ин=400А; 3П </t>
  </si>
  <si>
    <t xml:space="preserve"> -главни прекидач електроенергетског развода агрегатског напајања  0-1; Ин=63А; 3П </t>
  </si>
  <si>
    <t xml:space="preserve"> -главни прекидач електроенергетског развода УПС напајања  0-1; Ин=40А; 3П </t>
  </si>
  <si>
    <t xml:space="preserve"> -прекидач-преклопка 1-0--2; Ин=40А</t>
  </si>
  <si>
    <t xml:space="preserve"> -Аутоматски осигурачи Ц-6А, једнополни</t>
  </si>
  <si>
    <t xml:space="preserve"> -Аутоматски осигурачи Ц-16А, једнополни</t>
  </si>
  <si>
    <t xml:space="preserve"> -Аутоматски осигурачи Ц-25А , једнополни</t>
  </si>
  <si>
    <t xml:space="preserve"> -Сабирнице за Н и ПЕ вод на пластичном изолационом постољу,  
  комплет са припадајућом бакарном шином са завртњима</t>
  </si>
  <si>
    <t xml:space="preserve"> -Пок  канали  са  поклопцем  различитих димензија</t>
  </si>
  <si>
    <t xml:space="preserve">Ситан  монтажни и изолациони материјал, потпорни изолатори, проводници  за ожичење,  назубљени бакарни  чешаљ  за  аутоматске осигураче, носећа шина осигурача,  натписне  плочице,  редне стезаљке и слично </t>
  </si>
  <si>
    <t>Сет одводника пренапона класе Б+Ц (према ИЕЦ61643-1), 25кА (10/350μс), 40кА (8/20μс), Н/ПЕ 100кА (10/350 и 8/20Уц), називног радног напона 275 В. Сет одводника пренапона је предвиђен за систем напајања ТН-Ц.</t>
  </si>
  <si>
    <t>Сигналне светиљке -црвене 220В,50Хз</t>
  </si>
  <si>
    <t>Комплет са свим ситним неспецифицираним материјалом, уграђено, повезано према једнополној шеми, испитано и пуштено у рад</t>
  </si>
  <si>
    <t>ГРО-2</t>
  </si>
  <si>
    <t>мрежни део</t>
  </si>
  <si>
    <t xml:space="preserve"> Главна теретна склопка слична типу КС, 400А, 3п, са ручицом и адаптером за уградњу у орман </t>
  </si>
  <si>
    <t xml:space="preserve"> Трополни заштитни прекидач са прекострујним окидачима (термички и електромагнетни), тип Цомпакт НС125Н ТМ-Д, називне струје:125/100А        </t>
  </si>
  <si>
    <t>Трополни компактни прекидач снаге Ин=25А, подесиве прекострујне заштите у опсегу 20-25А, са термомагнетском заштитном јединицом (А), максималне подносиве струје кратког споја 25кА</t>
  </si>
  <si>
    <t>Дигитално модуларно двотарифно трофазно бројило активне енергије, класе 1,  за мерење преко струјних трансформатора .../5А или /1А</t>
  </si>
  <si>
    <t>Струјни мерни трансформатор, 200/5 А/А, за кабл маx ø20мм, класе тачности 0.5, 3ВА</t>
  </si>
  <si>
    <t>ГРО-3</t>
  </si>
  <si>
    <t>ГРО-У</t>
  </si>
  <si>
    <t>Разводни орман РО-П1, израђена од декапираног лима у заштити ИП43 са уграђеним сабирницама, комплетним ожичењем и са следећом уграђеном опремом:</t>
  </si>
  <si>
    <t>И део  за развод мрежног напајања , РОП1Мр,</t>
  </si>
  <si>
    <t xml:space="preserve">ИИ део  за развод напајања из дизелелектричног агрегата ,                 РО-П1/Агр, </t>
  </si>
  <si>
    <t xml:space="preserve">ИИИ део  за развод напајања из УПС уређаја , РОП1-/УПС, </t>
  </si>
  <si>
    <t xml:space="preserve">Струјна заштитна склопка 16/03А </t>
  </si>
  <si>
    <t>Металне уводнице, за уградњу у одговарајући део табле( тип уводнице према типу кабла и пресеку жила кабла) и редне стезаљке одговарајућих величина и броја</t>
  </si>
  <si>
    <t>Натписне плочице са  исписаним текстом</t>
  </si>
  <si>
    <t>Разводна табла РО-П2, израђена од декапираног лима у заштити ИП43 са уграђеним сабирницама, комплетним ожичењем и са следећом уграђеном опремом:</t>
  </si>
  <si>
    <t>Разводни орман РО-И-1, израђена од декапираног лима у заштити ИП43 са уграђеним сабирницама, комплетним ожичењем и са следећом уграђеном опремом:</t>
  </si>
  <si>
    <t>Разводни орман РО-И-2, израђена од декапираног лима у заштити ИП43 са уграђеним сабирницама, комплетним ожичењем и са следећом уграђеном опремом:</t>
  </si>
  <si>
    <t>Разводни орман РО-ИИ-1, израђена од декапираног лима у заштити ИП43 са уграђеним сабирницама, комплетним ожичењем и са следећом уграђеном опремом:</t>
  </si>
  <si>
    <t xml:space="preserve">И део  за развод мре‍ног напајања </t>
  </si>
  <si>
    <t xml:space="preserve"> - Импулсни реле, 1п</t>
  </si>
  <si>
    <t>Разводниорман РО-маш.пр, израђеа од декапираног лима у заштити ИП43 са уграђеним сабирницама, комплетним ожичењем и са следећом уграђеном опремом:</t>
  </si>
  <si>
    <t>Једнополни минијатурни аутоматски заштитни прекидач номиналне струје 6А, 10кА, номиналног напона 230В,50Хз, карактеристике окидања Б</t>
  </si>
  <si>
    <t>Једнополни минијатурни аутоматски заштитни прекидач номиналне струје 10А, 10кА, номиналног напона 230В,50Хз, карактеристике окидања Б</t>
  </si>
  <si>
    <t>Једнополни минијатурни аутоматски заштитни прекидач номиналне струје 16А, 10кА, номиналног напона 230В,50Хз, карактеристике окидања Б</t>
  </si>
  <si>
    <t>Инсталациони контактор, номиналне струје 6А, 1п, номиналног напона 230В, 5Хз, номиналног управљачког напона 230В, 50Хз</t>
  </si>
  <si>
    <t>Тастер са једним НЦ контактом,номиналног напона 230В са кућиштем фи22мм за уградњу на врата</t>
  </si>
  <si>
    <t>Печуркасти тастер црвене боје са једним НО контактом, номиналног напона 230В са кућиштем фи22мм за уградњу на врата</t>
  </si>
  <si>
    <t>Сет одводника пренапона класе Б+Ц (према ИЕЦ61643-1), 25кА (10/350μс), 40кА (8/20μс), Н/ПЕ 100кА (10/350 и 8/20μс), називног радног напона 275 В, Сет одводника пренапона је предвиђен за систем напајања ТН-С.</t>
  </si>
  <si>
    <t>Разводна табла РО-маш.И, израђена од декапираног лима у заштити ИП43 са уграђеним сабирницама, комплетним ожичењем и са следећом уграђеном опремом:</t>
  </si>
  <si>
    <t>Разводна табла РО-маш.ИИ, израђена од декапираног лима у заштити ИП43 са уграђеним сабирницама, комплетним ожичењем и са следећом уграђеном опремом:</t>
  </si>
  <si>
    <t>Испорука и уградња са повезивањем разводног ормана РО-СО у техничкој просторији приземља . Разводни орман је димензија 80x80x25цм од метала са елзет бравом и уграђује се на зид. Разводни орман при изради мора имати 20% резервног простора. У орман се уграђује следећа опрема у складу са једнополном шемом:</t>
  </si>
  <si>
    <t xml:space="preserve"> Трополна гребенаста склопка ГС25А (0-1) </t>
  </si>
  <si>
    <t xml:space="preserve">Струјна диференцијална склопка СДС25/0,5А </t>
  </si>
  <si>
    <t xml:space="preserve">Једнополна, троположајна гребенаста склопка ГС10А (0-1-2) </t>
  </si>
  <si>
    <t>Контактор 16А/230В</t>
  </si>
  <si>
    <t>Фоторелеј са фотосондом 16А/230В</t>
  </si>
  <si>
    <t>Сигнална лампица 220В</t>
  </si>
  <si>
    <t>Аутоматски осигурачи 6А = 1ком</t>
  </si>
  <si>
    <t>Аутоматски осигурачи 10А = 2ком</t>
  </si>
  <si>
    <t xml:space="preserve">Цу сабирнице и остали ситни потрошни материјал </t>
  </si>
  <si>
    <t>РАYВОДНИ ОРМАНИ</t>
  </si>
  <si>
    <t>СВЕТИЉКЕ</t>
  </si>
  <si>
    <t>УКУПНО Поз. 3</t>
  </si>
  <si>
    <t>ИНСТАЛАЦИОНИ МАТЕРИЈАЛ</t>
  </si>
  <si>
    <t xml:space="preserve">Прекидач обични10А у модулу 1М </t>
  </si>
  <si>
    <t xml:space="preserve">Прекидач наизменични 10А у модулу 1М </t>
  </si>
  <si>
    <t xml:space="preserve">Прекидач серијски 10А у модулу 1М </t>
  </si>
  <si>
    <t xml:space="preserve">димер 16А у модулу 1М </t>
  </si>
  <si>
    <t xml:space="preserve">димер наизменични 16А у модулу 1М </t>
  </si>
  <si>
    <t>Сензор покрета (у купатилима)</t>
  </si>
  <si>
    <t>Испорука модулне кутије за прекидаче, за у зид у модулу 1М. Комплет са носачем модула 1М и маском 1М.</t>
  </si>
  <si>
    <t xml:space="preserve">Испорука модулне кутије за прикључнице, за у зид у модулу 2М. Комплет са носачем модула 2М и маском 2М. </t>
  </si>
  <si>
    <t>Испорука модулне кутије за прикључнице, за у зид у модулу 2М. Комплет са носачем модула 2М и маском 2М.  У инсталационом каналу (2М, 2А, 2У)</t>
  </si>
  <si>
    <t>Остали ситан материјал ( раз.кутије, везице, типлови и сл.)</t>
  </si>
  <si>
    <t>пауш.</t>
  </si>
  <si>
    <t>Инсталационе ребрасте ХФ цеви</t>
  </si>
  <si>
    <t>фи 16мм</t>
  </si>
  <si>
    <t>фи 23мм</t>
  </si>
  <si>
    <t>УКУПНО Поз. 4</t>
  </si>
  <si>
    <t>ИНСТАЛАЦИЈА</t>
  </si>
  <si>
    <t>УКУПНОПоз. 5</t>
  </si>
  <si>
    <t>ИНСТАЛАЦИЈА ГРОМОБРАНА</t>
  </si>
  <si>
    <t>Испорука и монтажа челичног стуба носача хватаљке са уређајем за рано стартовање, дужине 6м са чишћењем, антикорозивном заштитом и два пута завршним фарбањем, пречником Ø76мм</t>
  </si>
  <si>
    <t>Опоменска таблица са упозорењем "Опасно по живот - високи напон".</t>
  </si>
  <si>
    <t>Израда  шелни са потребним прибором за причвршћивање за бетонски зид, за фиксирање челичног стуба носача хватаљке са уређајем за рано стартовање а у складу са приложеним детаљем.</t>
  </si>
  <si>
    <t xml:space="preserve">Испорука и постављање Фе/Зн траке 25x4мм за израду везе уземљивача и громобранског одводног вода (2 ком.по штапној хватаљци). </t>
  </si>
  <si>
    <t xml:space="preserve">Испорука и постављање Фе/Зн траке 20x3мм (спусни проводник) по кровном покривачу па низ бетонске стубове до кутије мерног споја са одговарајућим потпорама и укрсним комадима за израду веза._x000D_
</t>
  </si>
  <si>
    <t>Испорука и полагање бакарног ужета Цу пресека 25мм2, од штапне хватаљке са уређајем за рано стартовање до првог сегмента челичног стуба. Спајање Цу ужета и стуба остварити типским обујмицама одговарајућег обима. Пре извођења радова остварити заштите од корозије и фарбања.</t>
  </si>
  <si>
    <t>Испорука и уградња у фасадни зид кутије мерно-испитног споја (дим. 15x20x5цм) и израда мерног споја.</t>
  </si>
  <si>
    <t>Испорука и постављање ситног неспецифицираног материјала.</t>
  </si>
  <si>
    <t>паушал.</t>
  </si>
  <si>
    <t>Израда ¨Извештаја о изведеном стању громобранске инсталације¨ за комплетну громобранску инсталацију објекта сагласно важећем стандарду .</t>
  </si>
  <si>
    <t>УКУПНО ПОД 6</t>
  </si>
  <si>
    <t>ИНСТАЛАЦИЈА УЗЕМЉЕЊА И ИЗЈ. ПОТЕНЦИЈАЛА</t>
  </si>
  <si>
    <t>Испорука материјала, монтажа и повезивање главне сабирнице за изједначење потенцијала ГСИП, израђене од бакарне шине дим 30x5x500мм, у металном орману за уградњу на зид, уграђен поред мерног ормана. Комплет повезано.</t>
  </si>
  <si>
    <t>кутија за ИП тип ПС49 монтирана у зид</t>
  </si>
  <si>
    <t>уземљење антистатик пода у Просторијама рентген дијагностике</t>
  </si>
  <si>
    <t>Испитивање и пуштање у рад и верификација и контрола изведене инсталације сагласно важећим стандардима.</t>
  </si>
  <si>
    <t>УКУПНО ПОД 7</t>
  </si>
  <si>
    <t>дизел мотор</t>
  </si>
  <si>
    <t>синхрони генератор</t>
  </si>
  <si>
    <t>називни напон 3x400/230В</t>
  </si>
  <si>
    <t>брзина обртања 1500 о/мин</t>
  </si>
  <si>
    <t>Све комплет</t>
  </si>
  <si>
    <t>РАЗВОД ЕЛ.ЕНЕРГИЈЕ И РАЗВОДНЕ ТАБЛЕ</t>
  </si>
  <si>
    <t>ИНСТАЛАЦИЈА УЗЕМЉЕЊА И ИЗЈ.ПОТЕНЦИЈАЛА</t>
  </si>
  <si>
    <t xml:space="preserve">Испорука и уградња ДЕА </t>
  </si>
  <si>
    <t>УКУПНО Динара</t>
  </si>
  <si>
    <t>ИИ</t>
  </si>
  <si>
    <t>Испорука и уградња  гвозденог стуба висине 6м за монтазу директно на стуб према цртежима комплет са:
- Стуб треба да буде израђен од конусне челичне цеви пречника базе 148мм, пречника врха 76мм и укупне висине 6м.</t>
  </si>
  <si>
    <t>Основа стуба треба да буде димензија 250x250x10мм са четири отвора пречника 26мм за везу са анкер вијцима.
Стуб се фиксира на бетонски темељ помоћу четири анкер вијка М20x400мм осно распоређена у квадрат 180x180мм.</t>
  </si>
  <si>
    <t>Стуб треба да буде снабдевен са прикључном плочом РПО-В са једним ФРА осигурачем 16/10А и унутрашњом инсталацијом изведеном каблом ПП00-Y 3x2.5мм2 од прикључне плоче до светиљке.</t>
  </si>
  <si>
    <t>Испорука и уградња  на фасади објекта на висини 4м   носача, НБ-фи60  или еквивалентан</t>
  </si>
  <si>
    <t>Испорука и уградња  на фасади објекта на висини 6м   носача, НБ-фи60  или еквивалентан</t>
  </si>
  <si>
    <t>Испорука и полагање кабла ПП00-Y 5x6мм2, 1 кВ у рову . Обухваћено развлачење кабла, полагање и обележавање кабла оловном траком према техничким условима и увођење кабла до рефлектора комплет са израдом кабловских завршница и повезивањем инсталације.</t>
  </si>
  <si>
    <t>Обележавање места за стуб, израда бетонског изравнавајућег слоја од бетона МБ 150 израда отвора за металне типлове и анкере  и отвора за пролаз каблова или постављање две јувидур цеви Ø50 мм за увод кабла, постављање анкера , одвоз вишка матерјала.</t>
  </si>
  <si>
    <t>ПВЦ цеви за полагање каблова испод саобраћајнице</t>
  </si>
  <si>
    <t>цев Ø100мм</t>
  </si>
  <si>
    <t>м.</t>
  </si>
  <si>
    <t>Сијалица метал халогена 70W            </t>
  </si>
  <si>
    <t>Сијалица метал халогена 100W            </t>
  </si>
  <si>
    <t>ЕЛЕКТРОЕНЕРГЕТСКЕ ИНСТАЛАЦИЈЕ</t>
  </si>
  <si>
    <t>Спољна расвета</t>
  </si>
  <si>
    <t>УКУПНО ЕЛЕКТРОЕНЕРГЕТСКЕ ИНСТАЛАЦИЈЕ</t>
  </si>
  <si>
    <t>Инвеститор:           ОПШТИНА КУЛА</t>
  </si>
  <si>
    <t>Објекат:             ЗДРАВСТВЕНИ ОБЈЕКАТ СПЕЦИЈАЛИСТИЧКИХ СЛУЖБИ</t>
  </si>
  <si>
    <t>Место градње:   КУЛА, Трг ослобођења бр.7</t>
  </si>
  <si>
    <t>П Р Е Д М Е Р   И   П Р Е Д Р А Ч У Н    Р А Д О В А</t>
  </si>
  <si>
    <t>ХИДРОТЕХНИЧКЕ ИНСТАЛАЦИЈЕ</t>
  </si>
  <si>
    <t>Ред број</t>
  </si>
  <si>
    <t>ОПИС РАДОВА</t>
  </si>
  <si>
    <t>јед. мере</t>
  </si>
  <si>
    <t>Јединична цена</t>
  </si>
  <si>
    <t>Износ динара</t>
  </si>
  <si>
    <t>Набавка и монтажа полипропилен (пластичних) водоводних цеви са свим потребним фазонским комадима (фитинзима) на цевној мрежи. Позиција обухвата качење цеви о зид и конструкцију, штемовање и пробијање зидова међуспратне конструкције, као и потербан ископ са затрпавањем.</t>
  </si>
  <si>
    <t>Обрачун по м готовог цевовода.</t>
  </si>
  <si>
    <t>Ø20,ДН 15 мм</t>
  </si>
  <si>
    <t>Ø25,ДН 20 мм</t>
  </si>
  <si>
    <t>Ø32,ДН 25 мм</t>
  </si>
  <si>
    <t>Ø40,ДН 32 мм</t>
  </si>
  <si>
    <t>Испитивање цевовода на притисак. Неисправне цеви и спојеве заменити.</t>
  </si>
  <si>
    <t>Обрачун паушално.</t>
  </si>
  <si>
    <t>Дезинфекција и бактериолошко испитивање цевовода.</t>
  </si>
  <si>
    <t>Обрачун за комплет монтиран бојлер.</t>
  </si>
  <si>
    <t>В = 80 лит.</t>
  </si>
  <si>
    <t>В = 10 лит.</t>
  </si>
  <si>
    <t>В = 5 лит.</t>
  </si>
  <si>
    <t>Набавка и монтажа термоизолације за цеви од ПОЛИУРЕТЕНА или одговарајућег другог пенастог изолатора.</t>
  </si>
  <si>
    <t>Обрачун по м'.</t>
  </si>
  <si>
    <t>Ø 15-20 мм</t>
  </si>
  <si>
    <t>Ø 25-40 мм</t>
  </si>
  <si>
    <t>Набавка и монтажа ПВЦ канализационих цеви заједно са одговарајућим фазонским комадима. Цеви се монтирају качењем, штемовањем и пробијањем зидова међуспратне конструкције или укопавањем  у зидове или подове у строго пројектованом паду од 2%. Под овом позицијом подразумева се и заптивни материјал за спојеве цеви.</t>
  </si>
  <si>
    <t>Ø 50 мм - ПВЦ</t>
  </si>
  <si>
    <t>Ø 75 мм - ПВЦ</t>
  </si>
  <si>
    <t>Ø 125 мм - ПВЦ</t>
  </si>
  <si>
    <t>Набавка и монтажа вентилационе капе од ПВЦ-а.</t>
  </si>
  <si>
    <t>Обрачун за комплет монтирану вентилациону капу.</t>
  </si>
  <si>
    <t>Набавка и монтажа подних вертикалних сливника с пластичним кућиштем и хромираном решетком.</t>
  </si>
  <si>
    <t>Обрачун за комплет монтиран сливник.</t>
  </si>
  <si>
    <t>САНИТАРНИ УРЕЂАЈИ</t>
  </si>
  <si>
    <t>Обрачун по комаду за рад и материјал.</t>
  </si>
  <si>
    <t>Набавка, транспорт и монтажа комплетног умиваоника И класе од белог фајанса за особе са посебним потребама. Умиваоник је величине 64/55 цм. Умиваоник снабдети стојећом једноручном батеријом за хладну воду са краћим испустом, пониклованим одводним сифоном Ø32 мм са розетом, чепом и ланцем. Израда и уградња пакница или пластичних типли у зид за причвршћивање умиваоника улази у цену рада. Производјач ЈИКА Лауфен гроуп, Свајцарска.</t>
  </si>
  <si>
    <t>Набавка, транспорт и монтажа комплетног WЦ-а од фајанса И класе. На доводу воде у водокотлић монтирати ЕК вентил Ø15 мм са пониклованом капом. На WЦ шољу монтирати седиште од пластичне масе. WЦ снабдети ниско монтажним водокотлићем, типа фонтана са пластичном испирном цеви и осталим припадајућим материјалом. Ценом је обухваћен сав спојни и заптивни материјал.</t>
  </si>
  <si>
    <t>Обрачун по комплету монтираног и испробаног уређаја.</t>
  </si>
  <si>
    <t>Набавка, транспорт и монтажа комплетне санитарне опреме WЦ-а за особе са посебним потребама која се састоји од: конзолне керамичке WЦ шкољке за инвалиде И класе, за 6 лит испирање, облика и боје по избору пројектанта унутрашњег уређења, одигнуте од пода мин. 6 цм са седиштем и поклопцем. Производјач ИНЦЕА, Италија.</t>
  </si>
  <si>
    <t>Набавка и монтажа посоара  са изливном славином и одводном арматуром.</t>
  </si>
  <si>
    <t>Обрачун  за комплет монтиран писоар.</t>
  </si>
  <si>
    <t>Набавка,транспорт и постављање ТРОКАДЕРА од белог фајанса домаце производње комплет са решетком, водокотлицем, испирном цеви  и потребним спојним дихтујуцим материјалом.</t>
  </si>
  <si>
    <t>САНИТАРНА АРМАТУРА</t>
  </si>
  <si>
    <t>Обрачун по комаду.</t>
  </si>
  <si>
    <t>Набавка и уградња зидне једноручне изливне батерије за хладну воду са непокретним изливом за стерилизатор.</t>
  </si>
  <si>
    <t>Набавка и монтажа пропусних вентила са унутрашњим навојем и то:</t>
  </si>
  <si>
    <t>- пропусни вентили са точком и испусном славином:</t>
  </si>
  <si>
    <t>Ø 32 мм</t>
  </si>
  <si>
    <t>- пропусни вентили са точком:</t>
  </si>
  <si>
    <t>Ø 20 мм</t>
  </si>
  <si>
    <t>Ø 25 мм</t>
  </si>
  <si>
    <t>- ЕК вентил</t>
  </si>
  <si>
    <t>- угаони вентил за водокотлић: Ø 15 мм</t>
  </si>
  <si>
    <t>Пратећа галантерија у ординацијама и тоалетима, по избору пројектанта, са свим потребним материјалом за причвршћивање:</t>
  </si>
  <si>
    <t>* WЦ метлица</t>
  </si>
  <si>
    <t>* канта за смеће</t>
  </si>
  <si>
    <t>* полица етажер</t>
  </si>
  <si>
    <t>* огледало димензија 80x100цм</t>
  </si>
  <si>
    <t>* зидни рукохват</t>
  </si>
  <si>
    <t>ХИДРАНТСКА МРЕЖА</t>
  </si>
  <si>
    <t>Набавка и монтажа поцинкованих водоводних цеви са свим потребним фазонским комадима (фитинзима) на цевној мрежи. Позиција обухвата качење цеви о зид и конструкцију. Под овом позицијом подразумева се и сав потребан материјал за заптивање спојева цеви и антикорозивна заштита цевовода.</t>
  </si>
  <si>
    <t>Обрачун по м' готовог цевововода.</t>
  </si>
  <si>
    <t>Ø 50 мм</t>
  </si>
  <si>
    <t>Ø 65 мм</t>
  </si>
  <si>
    <t>Обрачун по комаду комплетног хидранта уграђеног и испитаног.</t>
  </si>
  <si>
    <t>Обрачун за комплет монтиран уређај.</t>
  </si>
  <si>
    <t>Р Е К А П И Т У Л А Ц И Ј А</t>
  </si>
  <si>
    <t>У К У П Н О :</t>
  </si>
  <si>
    <t>ГЕОДЕТСКИ РАДОВИ</t>
  </si>
  <si>
    <t>Исколчавање и обележавање трасе цевоводовода</t>
  </si>
  <si>
    <t>Обрачун се врши по м' цевовода.</t>
  </si>
  <si>
    <t>Ценом позиције обухваћени су и сви посебни радови и трошкови везани за обележавање ископа знацима упозорења, обезбеђење и одржавање рова до комплетног извршења радова.</t>
  </si>
  <si>
    <t>Обрачун се врши по м3 ископаног материјала у сраслом стању, за сав потребан рад и материјал.</t>
  </si>
  <si>
    <t>Израда постељице од песка, хп = 10 цм</t>
  </si>
  <si>
    <t>Ценом позиције обухваћена је набавка, допрема, развожење дуж рова, убацивање у ров, планирање и набијање песка. Носивост постељице треба да износи Ме&gt;15 Мпа. Предвиђен материјал за постељицу је песак типа "Дунавац".</t>
  </si>
  <si>
    <t>Обрачун се врши по м3 уграђеног песка у збијеном стању, за сав потребан рад и материјал.</t>
  </si>
  <si>
    <t>Затрпавање рова песком</t>
  </si>
  <si>
    <t>Предвиђен материјал за облагање цеви је песак типа "Дунавац".</t>
  </si>
  <si>
    <t>Затрпавање рова замљом из ископа</t>
  </si>
  <si>
    <t>Затрпавање рова замљом из ископа са набијањем у слојевима од 30 цм, до природне збијености.</t>
  </si>
  <si>
    <t>Обрачун се врши по м3 затрпаног рова у сабијеном стању, за сав рад и материјал.</t>
  </si>
  <si>
    <t>Обрачун се врши по м3 одвеженог материјала у збијеном стању, за сав потребан рад и материјал.</t>
  </si>
  <si>
    <t>Подграђивање страница рова.</t>
  </si>
  <si>
    <t>Обрачун се врши по м' рова на којем је изведена подграда, за сав потребан рад и материјал.</t>
  </si>
  <si>
    <t>МОНТАЖНИ РАДОВИ</t>
  </si>
  <si>
    <t>Фазонски комади ПН10 - дуктилни лив заштићен споља и изнутра ДИН 30677-2</t>
  </si>
  <si>
    <t>Т Ø80/80 мм</t>
  </si>
  <si>
    <t>ФФ Ø80 мм, Л=1000 мм</t>
  </si>
  <si>
    <t>ФФ Ø80 мм, Л=400 мм</t>
  </si>
  <si>
    <t>ФФР Ø80/65 мм, Л=200 мм</t>
  </si>
  <si>
    <t>Прохромска прирубница са навојем Ø65 мм</t>
  </si>
  <si>
    <t>Водоводна арматура (дуктилни лив заштићен споља и изнутра ДИН 30677-2) заптивни и спојни материјал ПН10</t>
  </si>
  <si>
    <t>Пљоснати засун са прирубницама Ø80 мм, са точком</t>
  </si>
  <si>
    <t>Пљоснати засун са прирубницама Ø80 мм</t>
  </si>
  <si>
    <t>Пљоснати засун са прирубницама Ø65 мм</t>
  </si>
  <si>
    <t>ПЕ Туљак Ø80 мм</t>
  </si>
  <si>
    <t>Мулти-џоинт спојница ''Е'' Ø80 мм</t>
  </si>
  <si>
    <t>Округла капа "вода" за засун</t>
  </si>
  <si>
    <t>Заптивни прстен Ø80 мм</t>
  </si>
  <si>
    <t>Заптивни прстен Ø65 мм</t>
  </si>
  <si>
    <t>Завртањ са матицом М16/70</t>
  </si>
  <si>
    <t>Цеви</t>
  </si>
  <si>
    <t>Челичне поцинковане цеви са потребним фитинзима, Ø65 мм (2 1/2")</t>
  </si>
  <si>
    <t>Челичне поцинковане цеви са потребним фитинзима, Ø40 мм (6/4")</t>
  </si>
  <si>
    <t>Основна траса фекалне канализације</t>
  </si>
  <si>
    <t>Кратке ПВЦ цеви Ø160 мм, класе С-20, дужине Л=3,0 и 5,0м.</t>
  </si>
  <si>
    <t>КГФ уложак од ПВЦ-а Ø160 мм за уградњу у бетон.</t>
  </si>
  <si>
    <t>Набавка и монтажа надземног хидранта.</t>
  </si>
  <si>
    <t>Обрачун за комплет монтиран хидрант.</t>
  </si>
  <si>
    <t>БЕТОНСКИ РАДОВИ</t>
  </si>
  <si>
    <t>Израда и монтажа водомерног шахта.</t>
  </si>
  <si>
    <t>Позицијом су обухваћени сви додатни радови на ископу, изради тампонског слоја од шљунка и мршавог бетона; изради, монтажи и демонтажи оплате; сечењу, савијању и уградњи арматуре и пењалица, те уградња ливено-гвозденог поклопца.</t>
  </si>
  <si>
    <t>Обрачун по комаду изграђеног шахта.</t>
  </si>
  <si>
    <t>Израда и монтажа канализационог шахта.</t>
  </si>
  <si>
    <t>Обрачун по изведеном шахту за сав рад и материјал.</t>
  </si>
  <si>
    <t>Израда бетонских плоча д=15цм, од наб. бетона МБ20 око хидраната и округлих капа затварача</t>
  </si>
  <si>
    <t>* Око капе затварача дим дим. 30x30/15 цм</t>
  </si>
  <si>
    <t>ОСТАЛИ РАДОВИ</t>
  </si>
  <si>
    <t>Испитивање цевовода на пробни притисак</t>
  </si>
  <si>
    <t>Ценом позиције обухваћен је рад и материјал потребан за обављање појединачне и групне пробе монтираног цевовода, према важећим прописима.</t>
  </si>
  <si>
    <t>Обрачун се врши по м' трасе цевовода на којој су извршени радови.</t>
  </si>
  <si>
    <t>Ценом позиције обухваћен је рад и материјал потребан за прибављање атеста о исправности воде узорковане на новоизграђеном цевоводу, према важећим прописима.</t>
  </si>
  <si>
    <t>Постављање привременог пешачког прелаза.</t>
  </si>
  <si>
    <t>На сваких 100 м трасе, поставити дрвене пешачке прелазе са оградом од квалитетног дрвета. Ценом је обухваћена набавка материјала, транспорт до градилишта, израда и одржавање прелаза док трају радови, демонтажа и одвоз материјала након завршетка радова.</t>
  </si>
  <si>
    <t>Обрачун се врши по комаду пешачког прелаза.</t>
  </si>
  <si>
    <t>Ценом позиције је обухваћен сав рад и материјал предвиђен за ту врсту посла.</t>
  </si>
  <si>
    <t>Обрачун паушално</t>
  </si>
  <si>
    <t>Пре почетка изградње новопројектоване зграде, извршити детаљно снимање постојеће зграде, која се налази на суседној парцели (парцела бр 4222) и о снимању сачинити елаборат о стању исте.</t>
  </si>
  <si>
    <t xml:space="preserve">Снимање обухвата визуелни преглед, констатацију стања, стабилности, проверу дубине темељења, као и фотографисање из више углова, и фотографисање евентуалних оштећења на згради.  </t>
  </si>
  <si>
    <t>Након израде елабората, статичар ће одредити евентуалне мере осигурања исте.</t>
  </si>
  <si>
    <t>Цена ставке садржи сав рад око снимања и израду елабората.</t>
  </si>
  <si>
    <t>Формирање градилишта.</t>
  </si>
  <si>
    <t xml:space="preserve">Израда, монтажа, демонтажа, потребних надстрешница, барака за смештај материјала и радника, ограде око градилишта, привремених чесми и разводних ормара за снабдевање електричном енергијом.  </t>
  </si>
  <si>
    <t>На улазу на градилиште и на самом градилишту поставити сигнализацију према важећим прописима.</t>
  </si>
  <si>
    <t xml:space="preserve">Након завршених радова и уклањања привремених објеката, простор очистити од шута и отпада, а терен довести у првобитно стање. </t>
  </si>
  <si>
    <t xml:space="preserve">Градилиште формирати према палну и шеми градилишта. </t>
  </si>
  <si>
    <t xml:space="preserve">Израда заштитне надстрешнице над тротоаром. </t>
  </si>
  <si>
    <t>Надстрешницу урадити од челичних цеви за скелу са косницима и укрућењима. Покрити је даскама дебљине 25мм и тер папиром који се причвршћује дрвеним летвама. Користи се за све време трајања радова и плаћа се једанпут без обзира да ли се у току радова демонтира и поново монтира.</t>
  </si>
  <si>
    <t>Обрачун по м2 мерено у основи</t>
  </si>
  <si>
    <t>Монтажа и демонтажа металне цевасте фасадне скеле, за радове у свему по важећим прописима и мерама ХТЗ-а.</t>
  </si>
  <si>
    <t>Скела мора бити статички стабилна, анкерована за објекат и прописно уземљена. На сваких 2м висине поставити радне платхорме од фосни. Са спољне стране платформи поставити фосне на "кант".</t>
  </si>
  <si>
    <t>Целокупну површину скеле покрити јутаним или ПВЦ засторима. Скелу прима и преко дневника даје дозволу за употребу статичар. Користи се за све време трајања радова.</t>
  </si>
  <si>
    <t>Обрачун по м² вертикалне пројекције монтиране скеле.</t>
  </si>
  <si>
    <t>Дубина ископа цца 160цм, због замене тла, испод објекта. Ископ радити у етепама, према шеми ископа из пројектне документацие, и упутству статичара, односно надзорног органа.</t>
  </si>
  <si>
    <t>Ископу следеће етапе, приступити, тек када је установљено да претходна задовољава услове из пројектне документације.</t>
  </si>
  <si>
    <t>Ископ извести према пројекту и датим котама. 
Бочне стране правилно одсећи а дно нивелисати тачношћу, ±2цм.</t>
  </si>
  <si>
    <t>Напомена: Набавка, транспорт, насипање и набијање песка није предмет ове ставке, обрачунава се посебно, у ставки  бр. 2.2. 
(Земљани радови).</t>
  </si>
  <si>
    <t>Набавка и насипање песка у слојевима са планирањем горње површине, замена тла испод темеља објекта.</t>
  </si>
  <si>
    <t>Песак пажљиво насути и набити у слојевима, вибро плочом или сличним механичким набијачем, а горњу површину фино испланирати, тачношћу ± 1цм.</t>
  </si>
  <si>
    <t>Набавка, насипање, набијање песка у слојевима, око и изнад темеља, и испод подова зграде.</t>
  </si>
  <si>
    <t>Набавка, транспорт, разастирање у слојевима, набијање и фино планирање тампон слоја од природног шљунка испод АБ темеља и подова зграде.</t>
  </si>
  <si>
    <t>ЗИДАРСКИ РАДОВИ</t>
  </si>
  <si>
    <t>Израда зидова гасбетон блоковима, у одговарајућем танкослојном малтеру.</t>
  </si>
  <si>
    <t>Дебљина зидова 25цм.</t>
  </si>
  <si>
    <t>Сваки трећи ред по висини потребно је учврстити у бочно носећу конструкцију. 
Ова веза се остварује помоћу еластичног сидра са поцинкованим ексерима или помоћу челичног арматурног анкера.</t>
  </si>
  <si>
    <t>Сваки други блок последњег реда обавезно је потребно учврстити у међуспратну конструкцију помоћу еластичног сидра. Ови анкери морају бити довољно анкерисани и заштићени у бетону како би имали функцију ношења на хоризонталне утицаје.</t>
  </si>
  <si>
    <t xml:space="preserve">За формирање надвратника, натпрозорника и серклажа, користити фабрички формиран фасонски комад одговарајуће ширине и дужине. 
У жљеб фасонског комада поставити бетонско жељезо према статичком прорачуну и детаљима и залити бетоном. </t>
  </si>
  <si>
    <t xml:space="preserve">Цена ставке садржи набавку потребног материјала, сав транспорт и израду, као и монтажу и демонтажу лаке покретне скеле. </t>
  </si>
  <si>
    <t>Приземље</t>
  </si>
  <si>
    <t>одбити</t>
  </si>
  <si>
    <t>И Спрат</t>
  </si>
  <si>
    <t>ИИ Спрат</t>
  </si>
  <si>
    <t>Кров</t>
  </si>
  <si>
    <t>Малтерисање зидова, од гасбетон блокова и АБ платна, кречним малтером у два слоја, унутар објекта.</t>
  </si>
  <si>
    <t>Пре малтерисања површине очистити и испрскати цементним млеком. Први слој, грунт, радити кречним малтером дебљине слоја до 2 цм од просејаног шљунка, и креча. Малтер нанети преко подлоге и нарезати ради бољег прихватања другог слоја.</t>
  </si>
  <si>
    <t>Други слој справити са ситним и чистим песком, без примеса муља и органских материја. Пердашити уз квашење и глачање малим пердашкама.</t>
  </si>
  <si>
    <t>Омалтерисане површине морају бити равне, без прелома и таласа, а ивице оштре и праве.</t>
  </si>
  <si>
    <t>Малтер квасити да не дође до брзог сушења.</t>
  </si>
  <si>
    <t xml:space="preserve">Цена ставке садржи набавку потребног материјала, сав транспорт, израду, као и монтажу и демонтажу лаке покретне скеле. </t>
  </si>
  <si>
    <t>Одбити</t>
  </si>
  <si>
    <t xml:space="preserve"> Преко подлоге набацати цементни шприц. Први слој, грунт, радити кречним малтером од просејаног шљунка. Подлогу поквасити, нанети први слој малтера и нарезати га.</t>
  </si>
  <si>
    <t>Други слој справити са ситним чистим песком, без примеса муља и органских материја и нанети преко првог слоја. Пердашити уз квашење и глачање малим пердашкама.</t>
  </si>
  <si>
    <t>Површине морају бити равне, без прелома и таласа. Малтер квасити да не дође до брзог сушења.</t>
  </si>
  <si>
    <t>Малтерисање косе АБ плоче степеништа, кречним малтером у два слоја.</t>
  </si>
  <si>
    <t>Преко подлоге набацати цементни шприц. Први слој, грунт, радити кречним малтером од просејаног шљунка. Подлогу поквасити, нанети први слој малтера и нарезати га.</t>
  </si>
  <si>
    <t>Крпљење омалтерисаних површина,  шлицева, квентова и слично до ширине 30цм, кречним малтером у два слоја.</t>
  </si>
  <si>
    <t xml:space="preserve">Пре малтерисања зидне површине наквасити водом и испрскати цементним млеком, нанети први слој, грунт, малтера, справљен са просејаним шљунком у дебљини цца 2цм. </t>
  </si>
  <si>
    <t>На просушени први слој нанети други, справљен са ситним песком и фино га испердашити уз квашење. Површине морају бити равне, без прелома и таласа, а ивице оштре. Састави са постојећим површинама не смеју бити      видљиви.</t>
  </si>
  <si>
    <t>Обрачун по мд</t>
  </si>
  <si>
    <t>УКУПНО ЗИДАРСКИ РАДОВИ:</t>
  </si>
  <si>
    <t>Израда подлоге од бетона, дебљине 5 цм, бетоном марке МБ 10, испод темеља и подова објекта.</t>
  </si>
  <si>
    <t>Горњу површину бетонске подлоге изравнати, а бетон неговати.</t>
  </si>
  <si>
    <t>Израда армирано бетонских тракастих     темеља бетоном марке МБ 25,                           у двостраној оплати.</t>
  </si>
  <si>
    <t>Израда армирано бетонског пода, дебљине 15 цм, у приземљу објекта, бетоном марке МБ30.</t>
  </si>
  <si>
    <t> Под армирати мрежастом арматуром, према пројекту и статичком прорачуну и уградити бетон.</t>
  </si>
  <si>
    <t>Израда армирано бетонских  зидова (платна) бетоном марке МБ30.</t>
  </si>
  <si>
    <t>Зид, платно, радити по пројекту, детаљима и армирати по статичком прорачуну. Бетон уградити и неговати по прописима.</t>
  </si>
  <si>
    <t>Дебљина зидова 20цм и 25цм</t>
  </si>
  <si>
    <t>Лифт окно</t>
  </si>
  <si>
    <t>Израда армирано бетонских стубова, пресека 40x25 цм, бетоном марке МБ 30.</t>
  </si>
  <si>
    <t>Стубове армирати по пројекту, детаљима и статичком прорачуну.</t>
  </si>
  <si>
    <t>Бетон уградити и неговати по пропису.</t>
  </si>
  <si>
    <t>Пасарела</t>
  </si>
  <si>
    <t>Израда армирано бетонских равних плоча, бетоном марке МБ 30.</t>
  </si>
  <si>
    <t>Дебљина плоча д=20цм</t>
  </si>
  <si>
    <t>Плоче армирати по пројекту, детаљима и статичком прорачуну. Бетон уградити и неговати по прописима.</t>
  </si>
  <si>
    <t>Израда армирано бетонских косих плоча степеништа бетоном марке МБ 30.</t>
  </si>
  <si>
    <t>Дебљина плоче д=15цм, 
дебљина подеста д=17цм</t>
  </si>
  <si>
    <t>Косе плоче степеништа армирати по пројекту, детаљима и статичком прорачуну. Бетон уградити и неговати по прописима.</t>
  </si>
  <si>
    <t>Израда бетонских степеника од армираног бетона, бетон марке МБ 20.</t>
  </si>
  <si>
    <t>Степенике бетонирати преко косе плоче. Бетон уградити и неговати по прописима.</t>
  </si>
  <si>
    <t>Израда армирано бетонских подвлака, бетоном марке МБ30.</t>
  </si>
  <si>
    <t>Подвлаке армирати по пројекту, детаљима и статичком прорачуну. Бетон уградити и неговати по прописима.</t>
  </si>
  <si>
    <t>УКУПНО АБ РАДОВИ:</t>
  </si>
  <si>
    <t>Набавка,материјала, израда, монтажа и демонтажа једностране оплате за бетонирање тракастих темеља.</t>
  </si>
  <si>
    <t>Набавка,материјала, израда, монтажа и демонтажа двостране оплате за бетонирање темеља.</t>
  </si>
  <si>
    <t>Набавка, постављање и демонтажа оплате за бетонирање зидова.</t>
  </si>
  <si>
    <t>Оплату израдити од јелове грађе, односно готових плоча адекватне дебљине.</t>
  </si>
  <si>
    <t>За подупирање користити  гредице одговарајућег попречног пресека, и подупираче.</t>
  </si>
  <si>
    <t>Оплату радити по тачно означеним мерама. Демонтирати је пажљиво и без потреса.</t>
  </si>
  <si>
    <t>Водити рачуна, о отворима и продорима, у АБ зидовима (платнима), на тим местима поставити кутију, димензија назначених у пројектној документацији.</t>
  </si>
  <si>
    <t>Готова оплата мора бити чврста, да би издржала тежину бетона, равна и израђена по тачним мерама, према пројекту и деталима из пројектне документације. При бетонирању не сме доћи до деформација или попуштања.</t>
  </si>
  <si>
    <t>Пре постављања оплате, исту премазати одговарајућим премазом.</t>
  </si>
  <si>
    <t xml:space="preserve">Обрачун по м2 </t>
  </si>
  <si>
    <t>Набавка, постављање и демонтажа дашчане оплате за бетонирање косе степенишне плоче и подеста.</t>
  </si>
  <si>
    <t>Оплату израдити од јелове грађе ИИ класе, односно готових плоча адекватне дебљине и фетни са подупирачима, по тачно означеним мерама и премазати је старим уљем или сличним средством. Демонтирати је пажљиво и без потреса.</t>
  </si>
  <si>
    <t>Набавка, постављање и демонтажа четверостране оплате за бетонирање стубова.</t>
  </si>
  <si>
    <t>Оплату израдити од јелове грађе ИИ класе, односно готових плоча адекватне дебљине.</t>
  </si>
  <si>
    <t>За подупирање и користити  гредице одговарајућег попречног пресека, и подупираче.</t>
  </si>
  <si>
    <t>Набавка, постављање и демонтажа тростране оплате за бетонирање подвлака.</t>
  </si>
  <si>
    <t>За подупирање и користити  гредице одговарајућег попречног пресека, и металне подупираче.</t>
  </si>
  <si>
    <t>Набавка, постављање и демонтажа оплате за бетонирање АБ пуне плоче.</t>
  </si>
  <si>
    <t>ИЗОЛАТЕРСКИ РАДОВИ</t>
  </si>
  <si>
    <t>Израда хидроизолације преко бетонске подлоге приземља и зидова лифт окна.</t>
  </si>
  <si>
    <t>Изолацију радити преко суве и чисте подлоге, са два кондора 3 и два врућа премаза битуменом.</t>
  </si>
  <si>
    <t>Хладни премаз битулит "А" нанети четком или прскањем, на температури вишој од 10 степени.</t>
  </si>
  <si>
    <t>Битуменску масу загрејати највише до 180 степени Ц, стално мешати и нанети врућу у слоју 2-3 мм. Битуменску траку залепити одмах, са преклопом 15цм.</t>
  </si>
  <si>
    <t>Изолацију радити по поду подрума и подићи на зид, до висине 20цм.</t>
  </si>
  <si>
    <t>Цена ставке садржи набавку потребног материјала, рад и сав транспорт.</t>
  </si>
  <si>
    <t xml:space="preserve">Изолацију радити преко потпуно суве и чисте подлоге. Хладни премаз, битулит нанети четком или прскањем, на температури вишој од 10 степени. </t>
  </si>
  <si>
    <t>Варење битуменских трака извести загревањем траке пламеником са отвореним пламеном, размекшавањем битуменске масе површине која се лепи и слепљивањем сопственом масом за подлогу. Траку залепити целом површином, са преклопима 10цм, посебну пажњу посветити варењу спојева.</t>
  </si>
  <si>
    <t>Поред зидова траку савити и заварити до висине 15цм, на зид просторија.</t>
  </si>
  <si>
    <t xml:space="preserve">Цена ставке садржи набавку потребног материјала, сав транспорт и израду. </t>
  </si>
  <si>
    <t>Набавка и постављање термоизолационих плоча, испод пода приземља, СТИРОДУР у слоју дебљине 20цм.</t>
  </si>
  <si>
    <t>Плоче поставити по пројекту, датим детаљима и упутству пројектанта.</t>
  </si>
  <si>
    <t>Са доње и горње стране поставиту паропропусну полиетиленску фолију. Спојеве залепити обострано лепљивом акрилном        траком.</t>
  </si>
  <si>
    <t>Набавка и постављање термоизолационих плоча, испод подова спрата, СТИРОДУР у слоју дебљине 4цм.</t>
  </si>
  <si>
    <t>УКУПНО ИЗОЛАТЕРСКИ РАДОВИ:</t>
  </si>
  <si>
    <t>ФАСАДНА БРАВАРИЈА</t>
  </si>
  <si>
    <t>Израда и постављање једнокрилних и двокрилних застакљених врата.</t>
  </si>
  <si>
    <t xml:space="preserve">Цена ставке садржи набавку потребног материјала, радионичку израду, сав транспорт, монтажу на градилишту са свим опшавима споља и изнутра. </t>
  </si>
  <si>
    <t>Обрачун по ком</t>
  </si>
  <si>
    <t>ПОС X</t>
  </si>
  <si>
    <t>ПОС X´</t>
  </si>
  <si>
    <t>ПОС 17</t>
  </si>
  <si>
    <t>Израда и постављање застакљених алуминијумских фасадних прозора, зид завеса.</t>
  </si>
  <si>
    <t xml:space="preserve">Цена ставке садржи набавку потребног материјала, радионичку израду, сав транспорт, израду носеће подконструкције и монтажу на градилишту са свим опшавима, клупицама, спојевима, споља и изнутра. </t>
  </si>
  <si>
    <t>УКУПНО ФАСАДНА СТОЛАРИЈА:</t>
  </si>
  <si>
    <t>Израда и постављање, пуних врата, у већ припремљене отворе, на металном слепом штоку.</t>
  </si>
  <si>
    <t>Крило медијапан на дрвеној подконструкцији, обострано финално обложена ХПЛ плочом д=1мм, по шеми столарије и детаљима.</t>
  </si>
  <si>
    <t>На поду поставити гумени одбојник.</t>
  </si>
  <si>
    <t>ПОС 1</t>
  </si>
  <si>
    <t>једнокрилна пуна врата 90/220</t>
  </si>
  <si>
    <t>ПОС 3</t>
  </si>
  <si>
    <t>једнокрилна пуна врата 80/220</t>
  </si>
  <si>
    <t>ПОС 4</t>
  </si>
  <si>
    <t>Израда и постављање, пуних клизних врата, у већ припремљене отворе, на металном слепом штоку.</t>
  </si>
  <si>
    <t>ПОС 2</t>
  </si>
  <si>
    <t>једнокрилна пуна клизна врата 90/220</t>
  </si>
  <si>
    <t>Израда и постављање, санитарне преграде са вратима, и фиксних преграда.</t>
  </si>
  <si>
    <t>Конструкција преграде од кутијастог челичног профила, финална обрада хромирањем. Врата и фиксни део преграде од Ламинатних МАX плоча, завршна обрада премаз акрилном полууретанском смолом.</t>
  </si>
  <si>
    <t>ПОС 5</t>
  </si>
  <si>
    <t>преграда са вратима 148/200</t>
  </si>
  <si>
    <t>ПОС 5а</t>
  </si>
  <si>
    <t xml:space="preserve">фиксна преграда 90/220  </t>
  </si>
  <si>
    <t>ПОС 5б</t>
  </si>
  <si>
    <t>фиксна преграда 50/220</t>
  </si>
  <si>
    <t>ПОС 5ц</t>
  </si>
  <si>
    <t>преграда са вратима 157/200</t>
  </si>
  <si>
    <t>Набавка, израда и постављање кровне конструкције, кровне конструкције пасареле и платформе за машинску опрему.</t>
  </si>
  <si>
    <t>Конструкцију израдити од челичних носача, лимова, угаоника, флахова, подложних плоча, анкера и слично, по пројекту, детаљима и упутству пројектанта.</t>
  </si>
  <si>
    <t>Спојеве и варове идеално израдити, очистити и обрусити. Пре уградње елементе очистити од корозије и прашине, нанети импрегнацију и основну боју, по извршеној монтажи основну боју поправити, на деловима где се оштети.</t>
  </si>
  <si>
    <t xml:space="preserve">Након завршене монтаже конструкције, целу префарбати фарбом за метал и као завршни слој све делове премазати противпожарним премазом степен заштите 90мин.   </t>
  </si>
  <si>
    <t>У цену улазе и анкери, завртњи, подлошке, као и атестирање конструкције и варова.</t>
  </si>
  <si>
    <t>Наведена количина садржи и израду и монтажу платформе на крову, за монтажу опреме клима уређаја.</t>
  </si>
  <si>
    <t>Обрачун по килограму.</t>
  </si>
  <si>
    <t>Израда и постављање једнокрилних противпожарних вратаватроотпорних 60минута.</t>
  </si>
  <si>
    <t>Врата израдити од челичног профилисаног лима и крило врата обложити двоструким челичним лимом са противпожарном испуном. Оков, шарке, брава цилиндар са три кључа.</t>
  </si>
  <si>
    <t>Пре бојења метал очистити од корозије и прашине, нанети импрегнацију и основну боју, а затим предкитовати и брусити. На нети први слој ватроотпорне боје за метал, китовати и брусити и завршно обојити други пут.</t>
  </si>
  <si>
    <t>Цена ставке садржи набавку потребног материјала, радионичку израду, сав транспорт, монтажу на градилишту са свим опшавима споља и изнутра.</t>
  </si>
  <si>
    <t>ПОС 11</t>
  </si>
  <si>
    <t>димензија 90/220</t>
  </si>
  <si>
    <t>ПОС 12</t>
  </si>
  <si>
    <t>димензија 80/220</t>
  </si>
  <si>
    <t>Израда и постављање двокрилних противпожарних вратаватроотпорних 60минута.</t>
  </si>
  <si>
    <t>ПОС 15</t>
  </si>
  <si>
    <t>димензија 151/220</t>
  </si>
  <si>
    <t>Врата израдити од челичног профилисаног лима и крило врата обострано обложити медијапан плочама, а између плоча поставити оловни лим дебљине 1мм. крило снабдети адекватним оковом, три шарке по крилу, усадна брава са кључем.</t>
  </si>
  <si>
    <t>ПОС 13</t>
  </si>
  <si>
    <t>ПОС 14</t>
  </si>
  <si>
    <t>Израда и постављање једнокрилних металних врата димензија 80x200 цм.</t>
  </si>
  <si>
    <t xml:space="preserve">Врата израдити од кутијастих челичних профила, по детаљима и упутству пројектанта. Крило врата обложити обострано челичним лимом. </t>
  </si>
  <si>
    <t>ПОС 16</t>
  </si>
  <si>
    <t>Израда и постављање фиксног прозора рентген кабинета.</t>
  </si>
  <si>
    <t>Рам прозора израдити од алуминијумских профила, превучених оловом фолијом, по шеми столарије и детаљима.</t>
  </si>
  <si>
    <t>Застаклити једнослојним оловним стаклом дебљине 6мм. (Ниво заштите ускладити са карактеристикама РТГ апарата, која се предвиђа пројектном документацијом опреме)</t>
  </si>
  <si>
    <t xml:space="preserve">Цена ставке садржи набавку потребног материјала, радионичку израду, сав транспорт, монтажу на градилишту са свим опшавима, клупицама, споља и изнутра. </t>
  </si>
  <si>
    <t>ПОС 6</t>
  </si>
  <si>
    <t>Израда и постављање шалтера застакљеног сигурносним стаклом.</t>
  </si>
  <si>
    <t>Клизајуће делове снабдети одговарајућим оковом.</t>
  </si>
  <si>
    <t>ПОС 7</t>
  </si>
  <si>
    <t>Израда и постављање шалтера застакљеног сигурносним стаклом, заједно са вратима.</t>
  </si>
  <si>
    <t>Клизајуће делове, као и крило врата, снабдети одговарајућим оковом и бравом за закључавање.</t>
  </si>
  <si>
    <t>ПОС 8</t>
  </si>
  <si>
    <t>ПОС 9</t>
  </si>
  <si>
    <t>ПОС 10</t>
  </si>
  <si>
    <t>Израда и уградња Пењалица.</t>
  </si>
  <si>
    <t>Вертикале пењалица фиксирати на челичне кутијасте профиле 80x80мм, који се са унутрашње стране анкеришу за зид. Ширина пењалица 90цм, на одстојању од 20 цм од зида. Пењалице поставити на свака 20цм. Вертикале су ФЗЦ Ø40мм, хоризонтале су ФЗЦ Ø20мм. Лестве пре уградње минизирати два пута.</t>
  </si>
  <si>
    <t>Спојеве и варове идеално израдити, очистити и обрусити.</t>
  </si>
  <si>
    <t>Пре уградње елементе очистити од корозије и прашине, нанети импрегнацију и основну боју, по извршеној монтажи поправити је.</t>
  </si>
  <si>
    <t>ПОС 20</t>
  </si>
  <si>
    <t>Обрачун по кг</t>
  </si>
  <si>
    <t>Израда и постављање ограде степеништа.</t>
  </si>
  <si>
    <t>Вертикални носачи кутијасти профили 40x40мм х=120цм, се фиксирају за газишта  анкер плочама шрафљењем. На анкер плоче поставити розетну од иноx лима. Рукохват је од кутијастог профила 40x40мм.</t>
  </si>
  <si>
    <t>Испуна је сигурносно трослојно ламинирано стакло 8(1.52)мм. стакло фиксирати за носеће вертикале преко у носача који држе стакло. На горњи У носач фиксирати рукохват за носеће вертикале.</t>
  </si>
  <si>
    <t>ПОС 18</t>
  </si>
  <si>
    <t>Израда и постављање рукохвата степенишног портала.</t>
  </si>
  <si>
    <t>Рукохват израдити и уградити по детаљима и упутству пројектанта. Спојеве и варове идеално израдити, очистити и обрусити.</t>
  </si>
  <si>
    <t>Рукохват радити од полираних нерђајућих елемената, према шеми браварије.</t>
  </si>
  <si>
    <t>ПОС 21</t>
  </si>
  <si>
    <t>Израда и уградња капка за излаз на кров, димензија 90x65цм. </t>
  </si>
  <si>
    <t>Капак израдити од ФЗЦ профила, рам са анкерима израдити од угаоника 50/50/3 мм. Капак урадити преко рама од кутија 30x30x3 мм обострано обложеног црним лимом дебљине 1 мм са две шарке, ручицом за подизање и бравом за закључавање.</t>
  </si>
  <si>
    <t>Капак и рам очистити, обојити минијумом и два пута бојом за метал.</t>
  </si>
  <si>
    <t xml:space="preserve">Цена ставке садржи набавку потребног материјала, радионичку израду, сав транспорт, финалну обраду фарбањем. </t>
  </si>
  <si>
    <t>ПОС 19</t>
  </si>
  <si>
    <t>Израда и уградња металног стругача обуће, решетке, димензија 80x120цм.</t>
  </si>
  <si>
    <t>Рам решетке урадити од угаоника 30x30x3 мм испуну од флахова 30x4 мм, на размаку од 3 цм. Фиксни рам, носач израдити од угаоника 40x40x4 мм и уградити.</t>
  </si>
  <si>
    <t>Решетку са носачем очистити, премазати минијумом и обојити бојом за метал, два пута.</t>
  </si>
  <si>
    <t>Израда и постављање рама за отирач обуће са гуменим уметком, димензија 80x120 цм.</t>
  </si>
  <si>
    <t>Рам радити од "Л" профила 50/30x5 мм  и уградити у нивоу пода, по датим детаљима. Рам очистити, премазати минијумом и обојити бојом за метал, два пута. У цену улази и гумени уметак.</t>
  </si>
  <si>
    <t>ПОС 22</t>
  </si>
  <si>
    <t>ЛИМАРСКИ РАДОВИ</t>
  </si>
  <si>
    <t xml:space="preserve">Покривање крова, кровним сендвич панелима дебљине 15цм. </t>
  </si>
  <si>
    <t>обрачун по м2</t>
  </si>
  <si>
    <t>Израда и монтажа лежећих олука од поцинкованог лима, развијене ширине (РШ) до 140цм, дебљина лима д=0,60мм.</t>
  </si>
  <si>
    <t>Олуке спајати нитнама, једноредно са максималним размаком 3 цм и летовати калајем од најмање 40%.</t>
  </si>
  <si>
    <t>Бочне ивице олука повезати са опшавом венца и са крајем кровног покривача.</t>
  </si>
  <si>
    <t>Испод лима, поставити битумизирану траку</t>
  </si>
  <si>
    <t>Израда и монтажа олучних поцинкованих цеви, развијене ширине (РШ) до 54цм, Ø17цм, дебљине лима 0,60 мм.</t>
  </si>
  <si>
    <t>Делови олучних цеви морају да улазе један у други минимум 50 мм и да се залетују калајем од најмање 40%.</t>
  </si>
  <si>
    <t>Поцинковане обујмице са држачима поставити на размаку од 200 цм. Преко обујмица поставити украсну траку. Цеви морају бити удаљене од зида минимум 20 мм. Завршетак олучне цеви по детаљу.</t>
  </si>
  <si>
    <t xml:space="preserve">Цена ставке садржи набавку потребног материјала, радионичку израду, сав транспорт и монтажу на градилишту. </t>
  </si>
  <si>
    <t>Израда и монтажа штуцне у венцу, везе олука и одводних вертикалних цеви од поцинкованог лима дебљине 0,60 мм, по детаљима и упутству пројектанта.</t>
  </si>
  <si>
    <t>Штуцна је спојена за олук водонепропусном везом и улази у цев 10цм</t>
  </si>
  <si>
    <t>Израда и монтажа водоскупљача од поцинкованог лима дебљине 0,60 мм, по детаљима и упутству пројектанта.</t>
  </si>
  <si>
    <t>Опшивање венаца поцинкованим лимом, развијене ширине (РШ) 66цм, дебљина лима д=0,60 мм.</t>
  </si>
  <si>
    <t>Задњу страну лима повезати са лимом увале. Лим саставити фалцевима или нитовати једноредно на размаку 30-40 мм и залемити.</t>
  </si>
  <si>
    <t>Између фалцева лим причврстити хафтерима, а у осталом делу пластичним типлама са поцинкованим холшрафовима.</t>
  </si>
  <si>
    <t>Преко шрафова поставити "машнице" и залемити, на растојању до 60 цм. Испод лима поставити слој тер папира.</t>
  </si>
  <si>
    <t>УКУПНО ЛИМАРСКИ РАДОВИ:</t>
  </si>
  <si>
    <t>КЕРАМИЧАРСКИ РАДОВИ</t>
  </si>
  <si>
    <t>Постављање зидних керамичких плочица, на лепак.</t>
  </si>
  <si>
    <t xml:space="preserve"> По потреби ивице плочица ручно добрусити. Обложене површине морају бити равне и вертикалне. Постављене плочице фуговати и очистити пиљевином.</t>
  </si>
  <si>
    <t>Цена ставке садржи набавку потребног материјала, израду, сав транспорт, монтажу и демонтажу лаке покретне скеле.</t>
  </si>
  <si>
    <t>Подлогу претходно испрскати цементним млеком. Полагање извести равно, у слогу по избору пројектанта, а плочице залити цементним млеком.</t>
  </si>
  <si>
    <t>Постављене плочице фуговати и очистити пиљевином.</t>
  </si>
  <si>
    <t>Цена ставке садржи набавку потребног материјала, израду, сав транспорт.</t>
  </si>
  <si>
    <t>УКУПНО КЕРАМИЧАРСКИ РАДОВИ:</t>
  </si>
  <si>
    <t>СУВОМОНТАЖНИ РАДОВИ</t>
  </si>
  <si>
    <t xml:space="preserve">Израда преградног зида дебљине 125мм,    на једнострукој металној потконструкција обложена обострано двоструким гипс картонскимплочама. </t>
  </si>
  <si>
    <t>(Ф.04).</t>
  </si>
  <si>
    <t xml:space="preserve">На местима отвора и уградне опреме 
предвидети сва потребна ојачања и 
носаче уградних елемената. </t>
  </si>
  <si>
    <t>На свим истуреним угловима уградити типске заштитне угаонике. Спојеви плоча се испуњавају, бандажирају траком и глетују масом за испуњавање спојева.</t>
  </si>
  <si>
    <t>Испуна спојева гипсаним испуњивачем са употребом бандаж траке.</t>
  </si>
  <si>
    <t>Приликом монтаже преградних зидова, спојеве са подом и плафоном као и обраду довратника и шпалетни радити према детаљима и спецификацији произвођача а уз сагласност  пројектанта.</t>
  </si>
  <si>
    <t>Радити у свему према детаљима из пројектне документације и мере узимати на лицу места.</t>
  </si>
  <si>
    <t>Цена ставке садржи набавку потребног материјала, сав транспорт, израду-монтажу и демонтажу лаке поктерне скеле.</t>
  </si>
  <si>
    <t xml:space="preserve">Обрачун је дат без одбијања отвора. </t>
  </si>
  <si>
    <t xml:space="preserve">Израда преградног зида дебљине 125мм, на једнострукој металној потконструкцији, обложена обострано двоструким влагоотпоорним гипскартон плочама. </t>
  </si>
  <si>
    <t>(Ф.04.1.).</t>
  </si>
  <si>
    <t xml:space="preserve">На местима отвора и уградне опреме предвидети 
сва потребна ојачања и носаче уградних 
елемената. </t>
  </si>
  <si>
    <t>Израда инсталацијског зида дебљине 500мм, двострука метална потконструкција обложена обострано двоструким импрегнираним гипс картонским плочама.</t>
  </si>
  <si>
    <t>Саставе обрадити глет масом и бандаж тракама по упутству пројектанта.</t>
  </si>
  <si>
    <t>Цена ставке садржи набавку потребног материјала, сав транспорт и израду, као и монтажу и демонтажу лаке поктерне скеле.</t>
  </si>
  <si>
    <t>Цена ставке садржи набавку потребног материјала, сав транспорт, израду,                       монтажу и демонтажу лаке                          поктерне скеле.</t>
  </si>
  <si>
    <t>Израда потконструкције за монтажу довратника за једнокрилна врата у гипс картонском зиду, дебљине 125мм,</t>
  </si>
  <si>
    <t>Потконструкцију извести од профила, дебљине 2мм са комплетом припадајућих утичних угаоника.</t>
  </si>
  <si>
    <t>Носач од челичних поцинкованих профила за једнострано вешање, подесив по висини и ширини, поставити у зидној шупљини. Максимално оптерећење до 150 кг. Монтира се са елементом за учвршћење цеви, монтажним носачем за угаоне вентиле и обујмицом одводне цеви. Носач поставити по упутству произвођача.</t>
  </si>
  <si>
    <t>Постављање универзалног носача за висеће терете, (биде, испирач и сл).</t>
  </si>
  <si>
    <t>Носач од челичних поцинкованих профила и вишеслојне дрвене шперплоче д=23 мм са профилисаним крајевима од челичног лима за учвршћење на ЦW профилима.</t>
  </si>
  <si>
    <t xml:space="preserve"> Носач поставити у зидној шупљини по упутству произвођача.</t>
  </si>
  <si>
    <t>УКУПНО СУВОМОНТАЖНИ РАДОВИ:</t>
  </si>
  <si>
    <t>ПОДОПОЛАГАЧКИ РАДОВИ</t>
  </si>
  <si>
    <t>На потпуно суву и чисту подлогу наноси се еколошки дисперзиви премаза. Након сушења наноси се еколошка саморазливајућа, равнајућа маса  у наносу до 3мм.</t>
  </si>
  <si>
    <t>Након сушења равнајуће масе извршити фино брушење, чишћење и усисавање исте.</t>
  </si>
  <si>
    <t>Карактеристике подне облоге:</t>
  </si>
  <si>
    <t xml:space="preserve">Класе хабања П (по ЕН 600 и 660) са ПУР заштитом. </t>
  </si>
  <si>
    <t>Отпорност на ватру Бфл С1 (по ЕН 13501-1), тежине до 2950г/м2, класе 34-43 (ЕН 685), отпоран на клизање Р9.</t>
  </si>
  <si>
    <t>Да не подржава развој буђи и гљивица  и са електричном отпорношћу од 5x104Ω до 106Ω (по ЕН 1081).</t>
  </si>
  <si>
    <t>Пре лепљења електропроводљиве винилне подне облоге, на изравнату површину пода залепити бакарну траку по ободу просторије, на растојању од 30-40цм од зида и траку извести до места  предвиђеног за                     уземљење</t>
  </si>
  <si>
    <t>По једно место за уземљење одговара површини од 40 м2.</t>
  </si>
  <si>
    <t>У унутрашњости уземљеног обима лепити исте бакарне траке у правцу краће стране просторије, на маx. растојању до 60 цм, за укупну дужину просторије.</t>
  </si>
  <si>
    <t>Украјање винилне подне облоге се врши на суво, лепљење на под дисперзивним, електропроводљивим еколошким лепком, са варењем спојева електродом у боји изабране подне облоге.</t>
  </si>
  <si>
    <t>Након варења спој довести у идеалну раван са подом.</t>
  </si>
  <si>
    <t>Све подове извести вертикалним холкерима на месту споја са зидом у висини од 15 цм (према посебном детаљу АГ пројекта).</t>
  </si>
  <si>
    <t>Сав настали отпад однети на градску    депонију.</t>
  </si>
  <si>
    <t>Обрацун по м2 изведене поврсине пода са обрацунатим холкерима (развијена површина)</t>
  </si>
  <si>
    <t>На суву и чисту подлогу, наноси се еколошки дисперзивни премаз. Након сушења наноси се еколошка саморазливајућа, равнајућа маса  у наносу до 3мм. Након сушења равнајуће масе извршити фино брушење, чишћење и усисавање исте.</t>
  </si>
  <si>
    <t>На овако припремљену подлогу, максималне влажности 2%,  испорука и полагање хомогене винилне подне облоге са недирекционим дезеном, дебљине 2мм.</t>
  </si>
  <si>
    <t>Карактеристике подне облоге</t>
  </si>
  <si>
    <t>Класе хабања Т (по ЕН 600 и 660), са ПУР заштитом, отпорност на ватру  Бфл С1 (по ЕН 13501-1), тежине до 2950г/м2, класе 34-43 (ЕН 685), отпоран на клизање Р9,  да не подржава развој буђи и гљивица.</t>
  </si>
  <si>
    <t>Украјање винилне подне облоге, врши се на суво, лепљење на под дисперзивним, еколоским лепком, са варењем спојева електродом у боји изабране подне облоге.</t>
  </si>
  <si>
    <t xml:space="preserve">Након варења спој довести у идеалну раван са подом. </t>
  </si>
  <si>
    <t>У свим осталим просторијама извести   вертикалне холкере на месту споја са зидом у висини од 15цм.</t>
  </si>
  <si>
    <t>Вертикални холкел висине 15цм</t>
  </si>
  <si>
    <t>Набавка и постављање месинганих разделница.</t>
  </si>
  <si>
    <t>Разделнице поставити по пројекту и детаљима, на дилетацијама објекта.</t>
  </si>
  <si>
    <t>Набавка и постављање алуминиумских разделница.</t>
  </si>
  <si>
    <t>Разделнице поставити по пројекту и детаљима, на сучељавању подова од различитог материјала.</t>
  </si>
  <si>
    <t>УКУПНО ПОДОПОЛАГАЧКИ РАДОВИ:</t>
  </si>
  <si>
    <t>Глетовање зидова и плафона</t>
  </si>
  <si>
    <t>Код гипскартон зидова и плафона, главе холшрфова или ексера минизирати, површине натопити фирнисом и китовати фуге дисперзионим китом.</t>
  </si>
  <si>
    <t>Малтерисане зидове, отпрашити и глетовати емулзионим китом. </t>
  </si>
  <si>
    <t>Након припреме, површине обрусити, очистити и извршити неутрализовање. Прегледати и китовати мања оштећења и пукотине. Импрегнирати и превући дисперзивни кит три пута</t>
  </si>
  <si>
    <t>Зидови</t>
  </si>
  <si>
    <t>Плафони</t>
  </si>
  <si>
    <t>Бојење глетованих зидова, дисперзивном, антибактеријском перивом бојом.</t>
  </si>
  <si>
    <t>Кућица на крову</t>
  </si>
  <si>
    <t>Бојење плафона, дисперзивном, антибактеријском, перивом бојом.</t>
  </si>
  <si>
    <t>Кречење зидова и плафона, изнад нивоа спуштеног плафона.</t>
  </si>
  <si>
    <t>Лифт Окно изнутра</t>
  </si>
  <si>
    <t>ФАСАДЕРСКИ РАДОВИ</t>
  </si>
  <si>
    <t>Израда термоизоловане фасаде, облагање МУЛТИПОР плочама.</t>
  </si>
  <si>
    <t>Преко постављених плоча равномерно нанети лепак у слоју 2-3 мм и утиснути са преклопом мрежицу, преко целе површине.</t>
  </si>
  <si>
    <t>Површина фасаде мора бити равна, без таласа и грбина а ивице оштре.</t>
  </si>
  <si>
    <t xml:space="preserve">Површине око отвора обрадити по детаљу, и упутству произвођача материјала. </t>
  </si>
  <si>
    <t>Облаже се фасада приземља.</t>
  </si>
  <si>
    <t>Обрачун по м2 готове фасаде.</t>
  </si>
  <si>
    <t>Цена ставке садржи  набавку потребног материјала, сав транспорт и израду.</t>
  </si>
  <si>
    <t>Пре бојења фасадне површине прећи шмирглом и опајати, а затим грундирати у два премаза.</t>
  </si>
  <si>
    <t>Фасадну боју нанети у два премаза на фасаду. Размак између првог и другог премаза је 2-4 часа.</t>
  </si>
  <si>
    <t>Ивице различитих тонова извући прецизно. Површине зидова морају бити потпуно суве пре бојења.</t>
  </si>
  <si>
    <t>УКУПНО ФАСАДЕРСКИ РАДОВИ:</t>
  </si>
  <si>
    <t>ЗАВРШНИ РАДОВИ</t>
  </si>
  <si>
    <t>Чишћење и прање градилишта по завршетку свих радова.</t>
  </si>
  <si>
    <t>Извршити детаљно чишћење целог градилишта, отпрашивање зидова, чишћење и фино прање свих унутрашњих простора.</t>
  </si>
  <si>
    <t>Чишћење и прање прозора и врата по завршетку радова.</t>
  </si>
  <si>
    <t>Прозоре и врата пажљиво очистити све површине и опрати водом са додатком одговарајућих хемијских средстава.</t>
  </si>
  <si>
    <t>Обрачун по м² мерена нето површина из основа.</t>
  </si>
  <si>
    <t>УКУПНО ЗАВРШНИ РАДОВИ:</t>
  </si>
  <si>
    <t>ГРАЂЕВИНСКА СТОЛАРИЈА</t>
  </si>
  <si>
    <t>СТОЛАРСКИ РАДОВИ</t>
  </si>
  <si>
    <t xml:space="preserve">ПРЕДМЕР И ПРЕДРАЧУН РАДОВА </t>
  </si>
  <si>
    <t>Ред.бр.</t>
  </si>
  <si>
    <t>ВРСТА И ОПИС РАДОВА</t>
  </si>
  <si>
    <t>ЈЕДИН. МЕРЕ</t>
  </si>
  <si>
    <t>КОЛИЧИНА</t>
  </si>
  <si>
    <t>ЦЕНА / ј.м.
РСД</t>
  </si>
  <si>
    <t>ЦЕНА РАДА РСД</t>
  </si>
  <si>
    <t xml:space="preserve">Допремање механизације, алата и средстава за рад и формирање градилишта. </t>
  </si>
  <si>
    <t>Извршити прописно ограђивање градилишта, обележавање и дефинисање опасних зона, поставити привремене објекте контејнерског типа и прикључити се на инфраструктурне инсталације.</t>
  </si>
  <si>
    <t>Извршити постављање и монтажу свих скела за обезбеђење пешака, имовине и саобраћаја са постављањем заштитних тканина (ПВЦ).</t>
  </si>
  <si>
    <t>Обрачун: паушално</t>
  </si>
  <si>
    <t>пауш</t>
  </si>
  <si>
    <t>Сондирање ради утврђивања дубине фундирања темеља суседног објекта.</t>
  </si>
  <si>
    <t>Сондирање извести ручним прокопавањем темеља калканског темеља у ширини од маx 60цм, уз примену свих потребних мера безбедности и здравља на раду. У цену урачунати сва потребна разупираја.</t>
  </si>
  <si>
    <t>Потребно је извести сондирање на два места - у делу објеката са подрумом (подрум П1 и на приземном делу објеку где нема подрума), према договору са надзорним органом</t>
  </si>
  <si>
    <t>Ручно рушење изнад коте + 4,30 м забатног зида и зида светларника. Дебљина зидова д=25цм.</t>
  </si>
  <si>
    <t>- забатни зид и светларник, маx х = 6,00 м , д=25цм , В=12,41+7,80=20,21м3</t>
  </si>
  <si>
    <t>Ручно рушење изнад коте + 4,30 м димњака 38x38 и димњака котларнице, са димњачком капом. Рушење се изводи пажљиво. У цену урачуната потребна помоћна скела.</t>
  </si>
  <si>
    <t>- димњак, х = 6,00 м , д=38цм , В=1,38м3</t>
  </si>
  <si>
    <t>-димњак котларнице : ~1,50м3</t>
  </si>
  <si>
    <t>Машинско рушење на коти + 4,30 м међуспратне конструкције изнад приземља система ‚‚Ферт‚‚ таванице, армирано-бетонских греда изнад приземља и конзолне плоче изнад улазних врата (димензије 115x440цм д=0,15цм). Димензије греда б/д=25/30цм и б/д=25/45цм. Дебљина међуспратне конструкције д=16+5цм.</t>
  </si>
  <si>
    <t>укупно :233,80-48,00=185,80м3</t>
  </si>
  <si>
    <t>Укупна површина приземља: 409,76м2</t>
  </si>
  <si>
    <t>Машинско рушење аб. плоче дворишне терасе на коти +/-0,00 и подних плоча подрума П1, П2 и П3.</t>
  </si>
  <si>
    <t>Укупна површина плоча: ....409,76м2</t>
  </si>
  <si>
    <t>Машинско рушење и откопавање зидова сутерена и темеља од пуне опеке дебљина зидова д=45-70цм.</t>
  </si>
  <si>
    <t>Објекат : 211,59-30,28=181,31м3</t>
  </si>
  <si>
    <t>Подрум П2 испод терасе:  10,74м3</t>
  </si>
  <si>
    <t>подрумски зидови подрума П1 и П3 испод дубине од 80цм: 45,48м3</t>
  </si>
  <si>
    <t>Ручно рушење бочних зидова од опеке који су у контакту са суседним објектом :</t>
  </si>
  <si>
    <t>- зида приземља, х=4,09 м  , В=48,00м3</t>
  </si>
  <si>
    <t>- зидова темеља и подрума, х=0,80 м  В=30,28м3</t>
  </si>
  <si>
    <t>укупно : 78,28м3</t>
  </si>
  <si>
    <t xml:space="preserve">Ручно рушење спровести само у зони суседних објеката. Дебљина спољних зидова д=55цм, </t>
  </si>
  <si>
    <t>Обрачун по комаду стабла</t>
  </si>
  <si>
    <t>површина срушених подрума са припадајућим зидовима:171,74м2 оријентациона дубна насипања Д~65цм</t>
  </si>
  <si>
    <t>Обрачун се врши у збијеном стању.</t>
  </si>
  <si>
    <t>Обрачун по м3.</t>
  </si>
  <si>
    <t xml:space="preserve">                                УКУПНА ВРЕДНОСТ РАДОВА (РСД, без ПДВ- а):</t>
  </si>
  <si>
    <t>РАДОВИ НА РУШЕЊУ</t>
  </si>
  <si>
    <t>СПОЉАШЊА ИНСТАЛАЦИЈА ВИК</t>
  </si>
  <si>
    <t>УНУТРАШЊА ИНСТАЛАЦИЈА ВИК</t>
  </si>
  <si>
    <t>СПОЉНО УРЕЂЕЊЕ И ОПРЕМАЊЕ</t>
  </si>
  <si>
    <t>ДЕМОНТАЖА И  РУШЕЊЕ</t>
  </si>
  <si>
    <t>УКУПНО ДЕМОНТАЖА И РУШЕЊЕ:</t>
  </si>
  <si>
    <t>ДЕМОНТАЖА И РУШЕЊЕ</t>
  </si>
  <si>
    <t>УНУТРАШЊА СТОЛАРИЈА И  БРАВАРИЈА</t>
  </si>
  <si>
    <t>УКУПНО УНУТРАШЊА СТОЛАРИЈА:</t>
  </si>
  <si>
    <t>ПРИПРЕМНИ РАДОВИ И РУШЕЊЕ</t>
  </si>
  <si>
    <t>ПРИПРЕМНИ РАДОВИ - РУШЕЊЕ</t>
  </si>
  <si>
    <t>УНУТРАШЊИ ВОДОВОД И КАНАЛИЗАЦИЈА</t>
  </si>
  <si>
    <t xml:space="preserve"> - сигналне сијалице са ЛЕД светлосним изворима (монтиране на вратима ормана) за  индикацију присуства мрежног напона напајања “ ПРИСУТАН  МРЕЖНИ НАПОН НАПАЈАЊА “
 за  230 В,  зелене боје</t>
  </si>
  <si>
    <t xml:space="preserve"> -сигналне сијалице са ЛЕД светлосним изворима (монтиране на вратима ормана) за индикацију присуства напона напајања “ ПРИСУТАН НАПОН НАПАЈАЊА МРЕЖА-АГРЕГАТ“ 
за  230 В, зелене боје</t>
  </si>
  <si>
    <t xml:space="preserve"> -сигналне сијалице са ЛЕД светлосним изворима (монтиране на вратима ормана) за индикацију присуства напона напајања “ ПРИСУТАН НАПОН НАПАЈАЊА УПС“ 
за  230 В, зелене боје</t>
  </si>
  <si>
    <t>А. УНУТРАШЊЕ ЈЕДИНИЦЕ И ПРИБОР</t>
  </si>
  <si>
    <t>ОБЕЛЕЖАВАЊЕ ОЗНАКА ХОРИЗОНТАЛНЕ СИГНАЛИЗАЦИЈЕ НА КОЛОВОЗУ</t>
  </si>
  <si>
    <t>ОПРЕМАЊЕ ДВОРИШТА</t>
  </si>
  <si>
    <t>УКУПНО ОПРЕМАЊЕ ДВОРИШТА:</t>
  </si>
  <si>
    <t>ОБЈЕКАТ : ЗГРАДА НАРОДНЕ БИБЛИОТЕКЕ У КУЛИ ( ЛОКАЦИЈА ДОМА ЗДРАВЉА )</t>
  </si>
  <si>
    <t>ЗЕМЉАНИ РАДОВИ</t>
  </si>
  <si>
    <t>УКУПНО ЗЕМЉАНИ РАДОВИ:</t>
  </si>
  <si>
    <t>ДОМ ЗДРАВЉА У КУЛИ</t>
  </si>
  <si>
    <t>СПОЉАШЊИ  ВОДОВОД И КАНАЛИЗАЦИЈА</t>
  </si>
  <si>
    <t>СПОЉЊЕ ОСВЕТЉЕЊЕ</t>
  </si>
  <si>
    <t>УКУПНО СПОЉЊЕ ОСВЕТЉЕЊЕ</t>
  </si>
  <si>
    <t>Ц. СПОЉНЕ ЈЕДИНИЦЕ</t>
  </si>
  <si>
    <t>ПОСТАВЉАЊЕ СТАНДАРДНИХ САОБРАЋАЈНИХ ЗНАКОВА</t>
  </si>
  <si>
    <t>1 Спрат</t>
  </si>
  <si>
    <t>2 Спрат</t>
  </si>
  <si>
    <t>Израда хоризонталне хидроизолације,    вареном битумизираном траком, дебљине 3мм и премазом битулитом, санитарном чвору.</t>
  </si>
  <si>
    <t>Са доње и горње стране поставиту паропропусну полиетиленску фолију. Спојеве залепити обострано лепљивом акрилном траком.</t>
  </si>
  <si>
    <t>ПОС XI</t>
  </si>
  <si>
    <t>ПОС I</t>
  </si>
  <si>
    <t>ПОС II</t>
  </si>
  <si>
    <t>ПОС III</t>
  </si>
  <si>
    <t>ПОС III`</t>
  </si>
  <si>
    <t>ПОС IV</t>
  </si>
  <si>
    <t>ПОС V</t>
  </si>
  <si>
    <t>ПОС VI</t>
  </si>
  <si>
    <t>ПОС VII</t>
  </si>
  <si>
    <t>ПОС VIII</t>
  </si>
  <si>
    <t>ПОС IX</t>
  </si>
  <si>
    <t>Између крила и  шtока поставити дихтунг профил од неопренске гуме.</t>
  </si>
  <si>
    <t>Пре бојења метал очистити од корозије и прашине, нанети импрегнацију и основну боју, а затим предкитовати и брусити. Нанети први слој ватроотпорне боје за метал, китовати и брусити и завршно обојити други пут.</t>
  </si>
  <si>
    <t xml:space="preserve"> Врата израдити по детаљима и атестирати.</t>
  </si>
  <si>
    <t>Израда и постављање једнокрилних врата са заштитом од ренген зрачења.</t>
  </si>
  <si>
    <t>На крило поставити три шарке. Оков, шарке и брава цилиндар са три кључа. Пре бојења метал очистити од корозије и прашине, нанети импрегнацију и основну боју, а затим предкитовати и брусити. Нанети први слој боје за метал, китовати и брусити и завршно обојити други пут.</t>
  </si>
  <si>
    <t>Пре бојења метал очистити од корозије и прашине, нанети импрегнацију и основну боју, а затим предкитовати и брусити. Нанети први слој боје за метал, китовати и брусити и завршно обојити други пут.</t>
  </si>
  <si>
    <t xml:space="preserve">Врата су снабдети адекватним оковом, укопавајућућом бравом са цилиндром и три кључа, механизмом за клизање. </t>
  </si>
  <si>
    <t xml:space="preserve">Врата су снабдети адекватним оковом, укопавајућућом бравом са цилиндром и три кључа, три усадне шарке по крилу. </t>
  </si>
  <si>
    <t>Поставити оков од елоксираног алуминијума, браву и три шарке по крилу.</t>
  </si>
  <si>
    <t>Малтерисање плафона АБ равна плоча, кречним малтером у два слоја.</t>
  </si>
  <si>
    <t>Преградни зид дебљине 125мм израдити од поцинкованих профила, као једноструку металну, неносиву и фиксну потконструкцију и поставити камену вуну дебљине 80 мм, обострано  обложену паропропусном фолијом.</t>
  </si>
  <si>
    <t>Потконструкцију обложити обострано двоструким гипскартон плочама дебљине 12,5мм, са заштитом од зрачења. 
Саставе обрадити по пројекту и упутству произвођача.</t>
  </si>
  <si>
    <t>Израда спуштеног плафона са заштитом од зрачења медицинских Рендген уређаја, од гипскартон плоча, на металној подконструкцији .</t>
  </si>
  <si>
    <t>Металну потконструкцију израдити од носивих и монтажних поцинкованих профила, причвршћених висилицама за носиви плафон и обложити двоструким гипс картонским плочама  дебљине 12,5мм, са заштитом од зрачења. Саставе обрадити по упутству произвођача.</t>
  </si>
  <si>
    <t xml:space="preserve">Врата снабдети оковом, бравом за закључавање изнутра и две шарке по крилу. </t>
  </si>
  <si>
    <t>Прозоре дихтовати трајно еластичном ЕПДМ гумом, вулканизованом на угловима. Оков тон алуминијума.</t>
  </si>
  <si>
    <t>Крила која се отварају снабдети оковом.</t>
  </si>
  <si>
    <t xml:space="preserve">Завршна обрада врата, медијапан плоче. </t>
  </si>
  <si>
    <t>Конструкција се ради од елоксираног алуминијум профила. Шалтер извести у растеру датом у шеми и детаљима из пројекта. Преграду застаклити једноструким стаклом дебљине 6мм и дихтовати ЕПДМ заптивачима. Преграду финално обрадити.</t>
  </si>
  <si>
    <t>Полагање хомогене винилне подне облоге са недирекционим дезеном, дебљине 2 мм.</t>
  </si>
  <si>
    <t>Полагање хомогене електропроводљиве винилне подне облоге са недирекционим дезеном, дебљине 2 мм.</t>
  </si>
  <si>
    <t>Малтер за кошуљицу справити са просејаним шљунком, размере 1:3. Армирати је мрежом Ø6мм, са окцима 15/15 цм, постављеним у средини слоја.</t>
  </si>
  <si>
    <t>Кошуљицу неговати док не очврсне.</t>
  </si>
  <si>
    <t>Кровни панел се састоји од 2 слоја ТР лима и испуне од полиуретана дебљине 15 цм. У цену урачунати све потребне ивичне опшивке, слеме и опшивке око продора кроз кров. Покривање извести по пројекту, детаљима и упутству произвођача материјала.</t>
  </si>
  <si>
    <t>Степен ватроотпорности Ф90 минута</t>
  </si>
  <si>
    <t>Плочице I класе, домаће производње, лепити лепком у слогу по избору пројектанта.</t>
  </si>
  <si>
    <t>Постављање подних керамичких плочица, неклизајућих, у цементном малтеру дебљине д=4цм.</t>
  </si>
  <si>
    <t>Израда преградног зида за заштиту од зрачења медицинских Рендген уређаја, са обострано двоструком облогом гипскартон плочама.</t>
  </si>
  <si>
    <t>Постављање носача за умиваоник.</t>
  </si>
  <si>
    <t>Обрачун по м2 изведене површине пода са обрачунатим холкерима (развијена површина)</t>
  </si>
  <si>
    <t>Приликом монтаже преградних зидова, спојеве са подом и плафоном као и обраду довратника и шпалетни радити према детаљима и спецификацији произвођача.</t>
  </si>
  <si>
    <t>На овако припремљену подлогу, максималне влажности 2%,  испорука и полагање хомогене електропроводљиве винилне подне облоге са недирекционим дезеном, дебљине 2 мм.</t>
  </si>
  <si>
    <t>Ограду израдити и уградити по детаљима. Спојеве и варове идеално израдити, очистити и обрусити.</t>
  </si>
  <si>
    <t>У цену урачунати све потребне ивичне опшивке и опшивке око отвора. Израду извести по пројекту, детаљима.</t>
  </si>
  <si>
    <t>Израда сендвич фасаде, на спратовима, завршна обрада фасадним панелима дебљине д=12,5цм, слагани према растеру, датом у пројектној документацији.</t>
  </si>
  <si>
    <t xml:space="preserve">Бојење фасаде (приземље) дисперзионом бојом. </t>
  </si>
  <si>
    <t>Плоче Мултипор дебљине 10 и 12,5цм, залепити  лепком за подлогу и нивелисати. Уградити пластичне котве, анкере, 1 ком, по плочи, као и металне и ПВЦ профиле за заштиту углова и ивица фасаде.</t>
  </si>
  <si>
    <t xml:space="preserve">Након сушења нанети лепак у слоју дебљине 2-3 мм за изравнање целе површине, и извући глет хоблом. </t>
  </si>
  <si>
    <t>Слојеви фасадног зида су, гледано изнутра на споља: 
- Гипскартон плоче, у два слоја укупне дебљине 2,5цм, (W/mk 0.210)
- Парна брана, (W/mk 0.190)
- Метална подконструкција, унутар металне подконструкције термоизолација, тврдопресована камена вуна дебљине 20цм, (W/mk 0.036)
- Паропропусна фолија, (W/mk 0.190)
- Влагоотпорне гипскартон плоче за спољну  употребу, у два слоја укупне дебљине 2,5цм, (W/mk 0.210)
- Фасадни панели дебљине 12,5цм. (W/mk 0.036)</t>
  </si>
  <si>
    <t>Фасадни панел се састоји од 2 слоја ТР лима и испуне од полиуретана дебљине 12,5 цм. (W/mk 0.036)</t>
  </si>
  <si>
    <t>I</t>
  </si>
  <si>
    <t>II</t>
  </si>
  <si>
    <r>
      <t xml:space="preserve">Машинско и ручно рушење зидова приземља од пуне опеке, сем зидова који се наслањају уз суседни објекат и димњака котларнице. Спратна висина х=4,09м. Дебљина спољних зидова д=55цм, унутрашњих д=30-45цм.Ценом обухватити чишћење, сортирање и слагање опеке са транспортом. </t>
    </r>
    <r>
      <rPr>
        <sz val="12"/>
        <color rgb="FFFF0000"/>
        <rFont val="Times New Roman"/>
        <family val="1"/>
        <charset val="238"/>
      </rPr>
      <t/>
    </r>
  </si>
  <si>
    <t xml:space="preserve">Машинско рушење таванице изнад подрума и подне плоче приземља. Таваница изнад сутерена изведена као свод од пуне опеке. Подне плоче сутерена и приземља су бетонске са делимично заосталим подним облогама.  </t>
  </si>
  <si>
    <t xml:space="preserve">Претпоставља се да су темељи од пуне опеке висине х= 80 цм. </t>
  </si>
  <si>
    <t>III</t>
  </si>
  <si>
    <t>Израда спуштеног плафона на металној потконструкцији и облагање гипскартонским плочама.</t>
  </si>
  <si>
    <t>Двоструку потконструкцију израдити од носивих и монтажних поцинкованих профила причвршћених висилицама за носиви плафон и обложити гипс картонским плочама, по пројекту и упутству произвођача.</t>
  </si>
  <si>
    <t>Подове, извести са заобљеним прелазом и вертикалним холкерима на месту споја са зидом у висини од 15цм. (према посебном детаљу АГ пројекта).</t>
  </si>
  <si>
    <t>Овом позицијом се обухвата снимање трасе каблова од ТС до КПК и од ДЕА до КПК за полагање каблова за напајање објекта, ископ рова, припрема рова за полагање каблова из тачки 1.1 и 1.2, полагање кабла, одвођење вишка земље на место које одреди инвеститор и довођење терена у првобитно стање.</t>
  </si>
  <si>
    <t xml:space="preserve"> Испорука, монтажа и повезивање на оба краја напојних каблова типа Н2HХ одговарајућег пресека, положених од  КПК до главних разводних ормана</t>
  </si>
  <si>
    <t xml:space="preserve"> - N2HХ Ј 5x95мм2</t>
  </si>
  <si>
    <t xml:space="preserve"> Испорука, монтажа и повезивање на оба краја напојних каблова типа N2HX одговарајућег пресека, положених од  главних разводних ормана до локалних разводних ормана у објекту, положеним по зиду, испод завршне обраде.</t>
  </si>
  <si>
    <t xml:space="preserve"> - N2HХ Ј 5x35мм2</t>
  </si>
  <si>
    <t xml:space="preserve"> - N2HХ Ј 5x16мм2</t>
  </si>
  <si>
    <t xml:space="preserve"> - N2HХ Ј 5x6мм2</t>
  </si>
  <si>
    <t xml:space="preserve"> - N2HХ Ј 5x4мм2</t>
  </si>
  <si>
    <t xml:space="preserve"> -Сабирнице за Н и ПЕ вод на пластичном изолационом постољу,   комплет са припадајућом бакарном шином са завртњима</t>
  </si>
  <si>
    <t xml:space="preserve"> Трополни заштитни прекидач са прекострујним окидачима (термички и електромагнетни), тип Ц компакт НС125Н ТМ-Д, називне струје:125/100А        </t>
  </si>
  <si>
    <t>Испорука и монта‍а разводног ормана електроенергетског развода означеног у графичкој  документацији  овога пројекта са ГРО-УПС.</t>
  </si>
  <si>
    <t xml:space="preserve">Орман  израдити  од  два  пута  декапираног  чли?ног  лима  дебљине   најмање 1,2  мм, са ватроотпорним вратима са ватроотпорношћу 30'. Орман је заштићен  од  корозије основним  премазом  и обојеног  завршним ефект лаком, у  свему  према  једнополној  </t>
  </si>
  <si>
    <t>Орман  мо‍е бити заڑштићен од корозије и поступком  пластифицирања. Сва  врата   морају  да  имају  типске  бравице. Опрема  ће  се  монтирати  на   подло‍ним  плочама од лима.</t>
  </si>
  <si>
    <t xml:space="preserve">Са унутрашње  стране врата ормана треба да буде тзв. "Џ‍еп за ношење документације изведеног  стања  ормана " </t>
  </si>
  <si>
    <t xml:space="preserve">Комплет  са  извођењем  свих  веза и  свим потребним монта‍ним материјалом и радовима. У орман  уградити  следећу  електро  опрему а све према одговарајућој једнополној  шеми: </t>
  </si>
  <si>
    <t xml:space="preserve"> -главни прекидач електроенергетског развода мре‍ног напајања  компакт; Ин=400А; 3П </t>
  </si>
  <si>
    <t xml:space="preserve"> -прекидач-преклопка 1-0--2; Ин=250А</t>
  </si>
  <si>
    <t xml:space="preserve"> -Аутоматски осигурачи Ц-6А, 6кА, једнополни</t>
  </si>
  <si>
    <t xml:space="preserve"> -Аутоматски осигурачи Ц-16А, 6кА, једнополни</t>
  </si>
  <si>
    <t xml:space="preserve"> -Аутоматски осигурачи Ц-20А , 6кА, једнополни</t>
  </si>
  <si>
    <t xml:space="preserve"> </t>
  </si>
  <si>
    <t xml:space="preserve">Орман  израдити  од  два  пута  декапираног челичног  лима  дебљине   најмање 1,2  мм. Орман је заштићен  од  корозије основним  премазом  и обојеног  завршним ефект лаком, у  свему  према  једнополној шеми </t>
  </si>
  <si>
    <t>Орман  мора бити заштићен од корозије и поступком  пластифицирања. Сва  врата   морају  да  имају  типске  бравице. Опрема  ће  се  монтирати  на   подло‍ним  плочама од лима.</t>
  </si>
  <si>
    <t xml:space="preserve">Комплет  са  извођењем  свих  веза и  свим потребним монтжа‍ним материјалом и радовима. У орман  уградити  следећу  електро  опрему а све према одговарајућој једнополној шеми: </t>
  </si>
  <si>
    <t xml:space="preserve"> -главни прекидач електроенергетског развода мре‍ног напајања  0-1; Ин=40А; 3П </t>
  </si>
  <si>
    <t xml:space="preserve"> -главни прекидач електроенергетског развода агрегатског напајања  0-1; Ин=40А; 3П </t>
  </si>
  <si>
    <t xml:space="preserve"> -главни прекидач електроенергетског развода УПС напајања  0-1; Ин=40А; 1П </t>
  </si>
  <si>
    <t xml:space="preserve"> -Аутоматски осигурачи Ц-10А, једнополни</t>
  </si>
  <si>
    <t>Металне уводнице, за уградњу у одговарајући део табле (тип уводнице према типу кабла и пресеку жила кабла) и редне стезаљке одговарајућих величина и броја</t>
  </si>
  <si>
    <t>Комплет са свим ситним не специфицираним материјалом, уграђено, повезано према једнополној шеми, испитано и пуштено у рад</t>
  </si>
  <si>
    <t>Орман  израдити  од  два  пута  декапираног челичног  лима  дебљине   најмање 1,2  мм. Орман је заڑштићен од  корозије основним  премазом  и обојеног  завршним ефект лаком, у  свему  према  једнополној  шеми.</t>
  </si>
  <si>
    <t>Орман  мо‍е бити заштићен од корозије и поступком  пластифицирања. Сва  врата   морају  да  имају  типске  бравице. Опрема  ће  се  монтирати  на   подло‍ним  плочама од лима.</t>
  </si>
  <si>
    <t xml:space="preserve">Са унутраڑшње  стране врата ормана треба да буде тзв. "Џ‍еп за ношење документације изведеног  стања  ормана " </t>
  </si>
  <si>
    <t xml:space="preserve">Комплет  са  извођењем  свих  веза и  свим потребним монтаж‍ним материјалом и радовима. У орман  уградити  следећу  електро  опрему а све према одговарајућој једнополној  шеми: </t>
  </si>
  <si>
    <t xml:space="preserve"> -главни прекидач електроенергетског развода УПС напајања  0-1; Ин=25А; 1П </t>
  </si>
  <si>
    <t xml:space="preserve"> - Сабирнице за Н и ПЕ вод на пластичном изолационом постољу,   комплет са припадајућом бакарном шином са завртњима</t>
  </si>
  <si>
    <t xml:space="preserve">ИИ део  за развод напајања из дизелелектричног агрегата ,                                  РО-П1/Агр, </t>
  </si>
  <si>
    <t>Орман  израдити  од  два  пута  декапираног  челичног  лима  дебљине   најмање 1,2  мм. Орман је заштићен  од  корозије основним  премазом  и обојеног  завршним ефект лаком, у  свему  према  једнополној  шеми</t>
  </si>
  <si>
    <t>Орман  можее бити заштићен од корозије и поступком  пластифицирања. Сва  врата   морају  да  имају  типске  бравице. Опрема  ће  се  монтирати  на   подло‍ним  плочама од лима.</t>
  </si>
  <si>
    <t xml:space="preserve">Комплет  са  извођењем  свих  веза и  свим потребним монта‍жним материјалом и радовима. У орман  уградити  следећу  електро  опрему а све према одговарајућој једнополној шеми: </t>
  </si>
  <si>
    <t xml:space="preserve"> -главни прекидач електроенергетског развода мре‍жног напајања  0-1; Ин=40А; 3П </t>
  </si>
  <si>
    <t>Металне уводнице, за уградњу у одговарајући део табле  (тип уводнице према типу кабла и пресеку жила кабла) и редне стезаљке одговарајућих величина и броја</t>
  </si>
  <si>
    <t xml:space="preserve">ИИ део  за развод напајања из дизелелектричног агрегата ,                             РО-П1/Агр, </t>
  </si>
  <si>
    <t>Орман  израдити  од  два  пута  декапираног челичног  лима  дебљине   најмање 1,2  мм. Орман је заштићен  од  корозије основним  премазом  и обојеног  завршним ефект лаком, у  свему  према  једнополној  шеми</t>
  </si>
  <si>
    <t>Орман  мож‍е бити заштићен од корозије и поступком  пластифицирања. Сва  врата   морају  да  имају  типске  бравице. Опрема  ће  се  монтирати  на   подло‍ним  плочама од лима.</t>
  </si>
  <si>
    <t xml:space="preserve">Комплет  са  извођењем  свих  веза и  свим потребним монтаж‍ним материјалом и радовима. У орман  уградити  следећу  електро  опрему а све према одговарајућој једнополној шеми: </t>
  </si>
  <si>
    <t xml:space="preserve"> -Сабирнице за Н и ПЕ вод на пластичном изолационом постољу,    комплет са припадајућом бакарном  шином са завртњима</t>
  </si>
  <si>
    <t>Металне уводнице, за уградњу у одговарајући део табле  ( тип уводнице према типу кабла и пресеку жила кабла) и редне стезаљке одговарајућих величина и броја</t>
  </si>
  <si>
    <t xml:space="preserve">ИИ део  за развод напајања из дизелелектричног агрегата ,                                 РО-П1/Агр, </t>
  </si>
  <si>
    <t xml:space="preserve">Орман  израдити  од  два  пута  декапираног челичног лима  дебљине   најмање 1,2  мм. Орман је заштићен од  корозије основним  премазом  и обојеног  завршним ефект лаком, у  свему  према  једнополној шеми  </t>
  </si>
  <si>
    <t>Орман  мо‍же бити заштићен од корозије и поступком  пластифицирања. Сва  врата   морају  да  имају  типске  бравице. Опрема  ће  се  монтирати  на   подло‍ним  плочама од лима.</t>
  </si>
  <si>
    <t xml:space="preserve">Комплет  са  извођењем  свих  веза и  свим потребним монта‍ним материјалом и радовима. У орман  уградити  следећу  електро  опрему а све према одговарајућој једнополној шеми: </t>
  </si>
  <si>
    <t>Разводни орман РО-ИИ-2, израђен од декапираног лима у заштити ИП43 са уграђеним сабирницама, комплетним ожичењем и са следећом уграђеном опремом:</t>
  </si>
  <si>
    <t xml:space="preserve">ИИ део  за развод напајања из дизелелектричног агрегата ,                            РО-П1/Агр, </t>
  </si>
  <si>
    <t xml:space="preserve">Орман  израдити  од  два  пута  декапираног  челичног  лима  дебљине   најмање 1,2  мм. Орман је заштићен  од  корозије основним  премазом  и обојеног  завршним ефект лаком, у  свему  према  једнополној шеми. </t>
  </si>
  <si>
    <t>Орман  мо‍е бити заштићен од корозије и поступком  пластифицирања. Сва  врата   морају  да  имају  типске  бравице. Опрема  ће  се  монтирати  на   подлож‍ним  плочама од лима.</t>
  </si>
  <si>
    <t xml:space="preserve"> -главни прекидач електроенергетског развода мреж‍ног напајања  0-1; Ин=40А; 3П </t>
  </si>
  <si>
    <t xml:space="preserve"> -Сабирнице за Н и ПЕ вод на пластичном изолационом постољу,    комплет са припадајућом бакарном шином са завртњима</t>
  </si>
  <si>
    <t>Испорука и монта‍а разводног ормана електроенергетског развода означеног у графичкој  документацији  овога пројекта са РО-Х1 Орман треба да буде подељен по вертикали на три одвојена дела:</t>
  </si>
  <si>
    <t xml:space="preserve">И део  за развод мреж‍ног напајања </t>
  </si>
  <si>
    <t xml:space="preserve">ИИ део  за развод напајања из дизелелектричног агрегата ,                 </t>
  </si>
  <si>
    <t xml:space="preserve">ИИИ део  за развод напајања из УПС уређаја , </t>
  </si>
  <si>
    <t>Орман  израдити  од  два  пута  декап Орман је заштићен  од  корозије основним  премазом  и обојеног  завршним ефект лаком, у  свему  према  једнополној  шеми.</t>
  </si>
  <si>
    <t>Орман  мож‍е бити заштићен од корозије и поступком  пластифицирања. Сва  врата   морају  да  имају  типске  бравице. Опрема ће  се  монтирати  на   подло‍ним  плочама од лима.</t>
  </si>
  <si>
    <t xml:space="preserve">Комплет  са  изводјењем  свих  веза и  свим потребним монта‍ним материјалом и радовима. У орман  уградити  следећу  електро  опрему а све према одговарајућој једнополној  шеми: </t>
  </si>
  <si>
    <t xml:space="preserve">Ситан  монтаж‍ни и изолациони материјал, потпорни изолатори, проводници  за ожичење,  назубљени бакарни  чешаљ  за  аутоматске осигураче, носећа шина осигурача,  натписне  плочице,  редне стезаљке и слично </t>
  </si>
  <si>
    <t>Испорука и монта‍а разводног ормана електроенергетског развода означеног у графичкој  документацији  овога пројекта са РО-Х2. Орман треба да буде подељен по вертикали на два одвојена дела:</t>
  </si>
  <si>
    <t>Орман  израдити  од  два  пута  декапираног  челичног  лима  дебљине   најмање 1,2  мм, са ватроотпорним вратима са ватроотпорношћу 30'. Орман је заштићен  од  корозије основним  премазом  и обојеног  завршним ефект лаком, у  свему  према  једнополној  шеми.</t>
  </si>
  <si>
    <t>Орман  мож‍е бити заштићен од корозије и поступком  пластифицирања. Сва  врата   морају  да  имају  типске  бравице. Опрема  ће  се  монтирати  на   подлож‍ним  плочама од лима.</t>
  </si>
  <si>
    <t xml:space="preserve">Са унутрашње  стране врата ормана треба да буде тзв. "Д‍еп за ношење документације изведеног  стања  ормана " </t>
  </si>
  <si>
    <t xml:space="preserve"> -главни прекидач електроенергетског развода мрже‍ног напајања  0-1; Ин=40А; 3П </t>
  </si>
  <si>
    <t xml:space="preserve"> -Аутоматски осигурачи Ц-20А, једнополни</t>
  </si>
  <si>
    <t xml:space="preserve">Ситан  монта‍ни и изолациони материјал, потпорни изолатори, проводници  за ношење,  назубљени бакарни чешаљ  за  аутоматске осигураче, носећа шина осигурача,  натписне  плочице,  редне стезаљке и слично </t>
  </si>
  <si>
    <t xml:space="preserve"> Трополни заштитни прекидач са прекострујним окидачима (термички и електромагнетни), тип B366компакт НС25Н ТМ-Д, називне струје:25/25А        </t>
  </si>
  <si>
    <t>Једнополни минијатурни аутоматски заштитни прекидач номиналне струје 10А, 10кА, номиналног напона 230В, 50Хз, карактеристике окидања Б</t>
  </si>
  <si>
    <t>Једнополни минијатурни аутоматски заштитни прекидач номиналне струје 16А, 10кА, номиналног напона 230В, 50Хз, карактеристике окидања Б</t>
  </si>
  <si>
    <t xml:space="preserve"> Трополни заштитни прекидач са прекострујним окидачима (термички и електромагнетни), тип компакт НС25Н ТМ-Д, називне струје:25/25А        </t>
  </si>
  <si>
    <t xml:space="preserve"> Трополни заштитни прекидач са прекострујним окидачима (термички и електромагнетни), тип  компакт НС25Н ТМ-Д, називне струје:25/25А        </t>
  </si>
  <si>
    <t xml:space="preserve">Испорука материјала и израда инсталације сијаличног места, полагањем каблова N2XH-Ј 2,3 и 4 x 1,5мм². Кабл се полаже испод малтера по плафону. </t>
  </si>
  <si>
    <t>Испорука материјала и израда инсталације монофазног прикључног места за утичнице каблом N2XH-Ј 3x2,5мм². Кабл се полаже у зиду  испод малтера . Просечна дужина кабла 15м.</t>
  </si>
  <si>
    <t>Испорука материјала и израда инсталације монофазног  фиксног прикључног места за вентилаторе у мокрим цворовима  каблом N2XH-Ј 3x2,5мм². Кабл се полаже   у зиду  испод малтера. Просечна дужина кабла 20м.</t>
  </si>
  <si>
    <t>Испорука материјала и израда инсталације монофазног  фиксног прикључног места за унутрашње клима јединице и рекуператоре   каблом N2XH-Ј 3x2,5мм². Кабл се полаже   у зиду  испод малтера. Просечна дужина кабла 20м.</t>
  </si>
  <si>
    <t>Испорука материјала и израда инсталације трофазног  фиксног прикључног места за спољашњу јединицу сплит система  каблом N2XH-Ј 5x10мм². Кабл се полаже   у зиду  испод малтера. (три клима на крову)</t>
  </si>
  <si>
    <t xml:space="preserve">Испорука материјала и израда инсталације за напајање  РО Хидроцела NHХHX  ФЕ180/Е90 5x6мм2. Кабл се полаже у зиду  испод малтера. </t>
  </si>
  <si>
    <t>Испорука и уградња бројача удара грома. Бројач поставити на једном од мерних спојева, непосредно изнад раставног места.</t>
  </si>
  <si>
    <t>Испорука кабла Н2XH-Ј 1x16 мм2, полагање и повезивање металних маса и инсталација у објекту (водовод и канализација, грејање,  инсталације слабе струје итд.) на главну сабирницу за изједначење потенцијала</t>
  </si>
  <si>
    <t xml:space="preserve">Испорука материјала и израда инсталације изједначења потенцијала у објекту проводником Н2XH-Ј 1x6мм2, просечне дужине 25м. </t>
  </si>
  <si>
    <t>Изједначавање потенцијала у санитарним чворовима</t>
  </si>
  <si>
    <t>испоручити и поставити проводник Н2XH Ј 1x6мм2 од кутије ПС49 до појединих елемената у купатилу или санитарном чвору</t>
  </si>
  <si>
    <t>испоручити и поставити проводник Н2XH-Ј 1x6мм2 од ПС49 кутија до РО</t>
  </si>
  <si>
    <t>кутија за ИП монтирана у зид са једним прикључком до 25мм2 и šест до 16мм2</t>
  </si>
  <si>
    <t>испоручити и поставити проводник Н2XH- Ј 1x16мм2 од кутије за ИП до просторије амбуланте 1, четири извода према графичкој документацији</t>
  </si>
  <si>
    <t>испоручити и поставити проводник Н2XH- Ј 1x25мм2 од ИП кутије до ПЕ шине  у ГРО</t>
  </si>
  <si>
    <t>Испорука и уградња УПС уређаја</t>
  </si>
  <si>
    <t xml:space="preserve"> - УПС 15 000ВА, Уређај је инвертерског типа, са правом дуплом конверзијом, такозваног „ОН ЛИНЕ“ начина рада, рад на улазни трофазни напон од 323В до 460 В, фактор улазне снаге треба да је бар 0,98, а несметани рад потребно је да се остварује и са дисторзијом </t>
  </si>
  <si>
    <t>Испоручити и монтирати дизел агрегатско постројење ДЕА за резервно електро-  енергетско напајање са прекидним (стандбy) напајањем са аутоматским пуштањем у рад, следећих техничких карактеристика:</t>
  </si>
  <si>
    <t>снага (приме реж‍им- трајан рад)  60 кВА</t>
  </si>
  <si>
    <t>сачинилац снаге 0,8</t>
  </si>
  <si>
    <t>учестаност 50Хз</t>
  </si>
  <si>
    <t>врста рада: аутматски старт, рад под променљивим оптерећењем</t>
  </si>
  <si>
    <t>уређај контејнерског типа</t>
  </si>
  <si>
    <t>уређај се испоручује заједно са аутоматским пребацивачем напајања АТС</t>
  </si>
  <si>
    <t>Отвор за прикључну плочу на стубу  400x72мм, заштићен ливеним поклопцем. Висина доње ивице отвора је на 500мм од основе стуба. 
Примена система заштите од напона додира треба обезбедити вијком ЗН М10 завареним унутар стуба, испод прикључне плоче. Комплет са израдом темеља стуба.</t>
  </si>
  <si>
    <t>Испорука и постављање светиљки са израдом струјних     веза од осигурача до светиљке каблом   ПП-Y- 3x2,5мм2</t>
  </si>
  <si>
    <t>Расветна тела за монтажу</t>
  </si>
  <si>
    <t>Набавка, транспорт и набијање песка или другог адекватног материјала , на месту уклоњених темеља и на месту где се налазио сутерен. Насипање се врши до коте фундирања новог објекта тј. цца -0,80 м у односу на коту околног терена.</t>
  </si>
  <si>
    <t>A.</t>
  </si>
  <si>
    <t>Санитарна водоводна и хидрантска мрежа</t>
  </si>
  <si>
    <t>m'</t>
  </si>
  <si>
    <t>Канализациона мрежа</t>
  </si>
  <si>
    <t>УКУПНО I:</t>
  </si>
  <si>
    <t>Машински ископ рова</t>
  </si>
  <si>
    <t>Ископ рова у земљишту 3. i 4. категорије у  правоугаоном облику ширине 0,8 (1,0) м, максималне дубине 1,50 м, са одлагањем материјала на једну страну на минималном одстојању 1.0 м од ивице рова, или са директним утоваром у превозно средство ради одвоза на депонију.</t>
  </si>
  <si>
    <t>m3</t>
  </si>
  <si>
    <t>Ручни ископ рова</t>
  </si>
  <si>
    <t>Ископ рова у земљишту 3. i 4. категорије у правоугаоном облику ширине 1,0 и 0,8 м, максималне дубине 1,50 м, са одлагањем материјала на једну страну на минималном одстојању 1.0 м од ивице рова.</t>
  </si>
  <si>
    <t>Ценом позиције обухваћена је набавка, допрема, развожење дуж рова, убацивање у ров, набијање песка око цеви и 30 цм изнад темена цеви.</t>
  </si>
  <si>
    <t>Транспорт вишка земље из ископа:</t>
  </si>
  <si>
    <t>Ценом позиције обухваћен је одвоз ископаног материјала до депоније , истовар и планирање материјала.</t>
  </si>
  <si>
    <t>УКУПНО II:</t>
  </si>
  <si>
    <t>Ценом позиције је обухваћено: набавка материјала, транспорт до градилишта, развожење дуж рова, монтажу и одржавање подграде за време извођења радова, демонтажу исте, слагање, утовар и одвоз са градилишта.</t>
  </si>
  <si>
    <t>УКУПНО III:</t>
  </si>
  <si>
    <t>IV</t>
  </si>
  <si>
    <t>Набавка материјала, утовар, транспорт  до градилишта, истовар, разношење дуж рова и уградња фазонских комада, арматура и цеви, са потребним дихтунзима и спојним материјалом.</t>
  </si>
  <si>
    <t>a</t>
  </si>
  <si>
    <t>Q 90° Ø80 мм</t>
  </si>
  <si>
    <t>Н 90° Ø80 мм</t>
  </si>
  <si>
    <t>b</t>
  </si>
  <si>
    <t>Уградбена гарнитура за засуне Ø80мм, Л=1,50м</t>
  </si>
  <si>
    <t>c</t>
  </si>
  <si>
    <t>Водоводне цеви од Полиетилена, ПЕ-100, НП10бара, Ø90 мм (НД 83 мм)</t>
  </si>
  <si>
    <t>Водоводне цеви од Полиетилена, ПЕ-100, НП10бара, Ø75 мм (НД 65 мм)</t>
  </si>
  <si>
    <t>Водоводне цеви од Полиетилена, ПЕ-100, НП10бара, Ø50 мм (НД 40 мм)</t>
  </si>
  <si>
    <t>d</t>
  </si>
  <si>
    <t>УКУПНО IV:</t>
  </si>
  <si>
    <t>V</t>
  </si>
  <si>
    <t>Набавка, транспорт материјала за  израду ревизионог канализационог шахта. Радови обухватају планирање дна рова и израду бетонске кошуљице,уградњу бетона,уградњу ливеногвоздених пењалица,набавку и уградњу канализационог поклопца пречника 600 мм класе оптерећења Ц250.</t>
  </si>
  <si>
    <t>Израда бетонских плоча</t>
  </si>
  <si>
    <t>* Око хидраната и затварача дим. 100x50/15 цм</t>
  </si>
  <si>
    <t>УКУПНО V:</t>
  </si>
  <si>
    <t>VI</t>
  </si>
  <si>
    <t>Санитарна водоводна мрежа</t>
  </si>
  <si>
    <t>Хидрантска мрежа</t>
  </si>
  <si>
    <t>Испирање, дезинфекција цевовода и бактериолошко испитивање воде</t>
  </si>
  <si>
    <t>УКУПНО VI:</t>
  </si>
  <si>
    <t>I    ГЕОДЕТСКИ РАДОВИ</t>
  </si>
  <si>
    <t>II   ЗЕМЉАНИ РАДОВИ</t>
  </si>
  <si>
    <t>III  ТЕСАРСКИ РАДОВИ</t>
  </si>
  <si>
    <t>IV МОНТАЖНИИ РАДОВИ</t>
  </si>
  <si>
    <t>V  БЕТОНСКИ РАДОВИ</t>
  </si>
  <si>
    <t>VI ОСТАЛИ РАДОВИ</t>
  </si>
  <si>
    <t>СВЕГА I – VII :</t>
  </si>
  <si>
    <t>B.</t>
  </si>
  <si>
    <t>ИНСТАЛАЦИЈЕ ВОДОВОДА</t>
  </si>
  <si>
    <t>paušalno</t>
  </si>
  <si>
    <t>Набавка и монтажа електричних бојлера под притиском  са казаном од прохрома.</t>
  </si>
  <si>
    <t>ИНСТАЛАЦИЈЕ  КАНАЛИЗАЦИЈЕ</t>
  </si>
  <si>
    <t>Ø 110 мм - ПВЦ</t>
  </si>
  <si>
    <t>Ø 160 мм - ПВЦ</t>
  </si>
  <si>
    <t>Ø 110 мм</t>
  </si>
  <si>
    <t>Ø 75 мм</t>
  </si>
  <si>
    <t>Ø 100 мм</t>
  </si>
  <si>
    <t>Набавка, транспорт и монтажа комплетног умиваоника И класе од белог фајанса. Умиваоник је величине 50/40 цм. Умиваоник снабдети пониклованим одводним сифоном Ø32 мм са розетом, чепом и ланцем. Израда и уградња пакница или пластичних типли у зид за причвршћивање умиваоника улази у цену рада.</t>
  </si>
  <si>
    <t>Стојећа једноручна батерија за топлу и хладну воду са флеxибилним везама и изливом за умиваонике.</t>
  </si>
  <si>
    <t>*носач папирних пешкира</t>
  </si>
  <si>
    <t>*носач wц папира</t>
  </si>
  <si>
    <t>*дозер течконг сапуна</t>
  </si>
  <si>
    <t>Набавка, транспорт и монтажа комплетног зидног пожарног хидранта. Хидрант је састављен од лимене кутије, стандардне димензије 50x50 цм, са бравом. У ормарићу су смештени котур са тревира цревом Ø50 мм са одговарајућом млазницом причвршћеном на крају црева. Други крај црева је причвршћен на хидрант – холендерски вентил. Доводна вертикала смештена је поред кутије хидранта. На крају цеви уграђен је коси холендер вентил са точком Ø50 мм урачунат у цену. Позиција обухвата набавку и уграђивање типли за завртњеве и вешање хидранта.</t>
  </si>
  <si>
    <t>Набавка и монтажа уређаја за повишење притиска са карактеристикама Q=5 л/с, Х=20-40м. Уређај је санбдевен командним ормарићем и свим потребним деловима за његов аутоматски рад.</t>
  </si>
  <si>
    <t>I    ИНСТАЛАЦИЈЕ ВОДОВОДА</t>
  </si>
  <si>
    <t>II ИНСТАЛАЦИЈЕ КАНАЛИЗАЦИЈЕ</t>
  </si>
  <si>
    <t>III  САНИТАРНИ УРЕЂАЈИ</t>
  </si>
  <si>
    <t>IV САНИТАРНА АРМАТУРА</t>
  </si>
  <si>
    <t>V  ХИДРАНТСКА МРЕЖА</t>
  </si>
  <si>
    <t>Свака тачка овог предмера обухвата набавку и испоруку свог потребног материјала и свих потребних радова ( и оно што није експлицитно наведено) да би инсталација несметано функционисала.</t>
  </si>
  <si>
    <t xml:space="preserve">Извођач је дужан да пре извођења инсталације за сав инсталациони и монтажни материјал </t>
  </si>
  <si>
    <t xml:space="preserve">обезбеди домаће атесте, односно одговарајуће реатесте, у делу где се ради о увозном </t>
  </si>
  <si>
    <t>инсталационом материјалу (кабловима) и увозном монтажном материјалу.</t>
  </si>
  <si>
    <t>јед.цена
(дин)</t>
  </si>
  <si>
    <t>А Структурно кабловски систем СКС</t>
  </si>
  <si>
    <t>A 1</t>
  </si>
  <si>
    <t>Слободностојећи 19" рацк орман (у техничкој документацији обележен у просторији 3, приземље), основе димензија 800 x 800 мм и висине 32ХУ, са стакленим вратима и кључем, мобилним шинама за вертикално вођење каблова, демонтажним бочним и задњом страном, ножицама за нивелацију. Унутар ормана треба да је извршено међусобно повезивање свих металних делова ради изједначења потенцијала у орману. Орман треба да буде прописно уземљен на најближи сабирник за изједначавање потенцијала. У орман се монтира следећа опрема:</t>
  </si>
  <si>
    <t>A 2</t>
  </si>
  <si>
    <t>Назидни 19" рацк орман (у техничкој документацији обележен у просторији 13 И спрат, 14 ИИ спрат), основе димензија 600 x 600 мм и висине 21ХУ, са стакленим вратима и кључем, мобилним шинама за вертикално вођење каблова, демонтажним бочним и задњом страном, ножицама за нивелацију. Унутар ормана треба да је извршено међусобно повезивање свих металних делова ради изједначења потенцијала у орману. Орман треба да буде прописно уземљен на најближи сабирник за изједначавање потенцијала. У орман се монтира следећа опрема:</t>
  </si>
  <si>
    <t>A 3</t>
  </si>
  <si>
    <t>Модуларни оптички патцх панел, висине 1ХУ, за монтажу у 19" рацк орман, намењен за терминирање 12 ФО влакана у комплету са кутијом, адаптерима опремом за сплајсовање. Рацкмоунт фибер оптичка кутија  (патцх панел). Набавка, испорука, монтажа у рацк орман, повезивање на кабловску инсталацију, формирање резерве ФО кабла и сплице-овање ФО влакана.</t>
  </si>
  <si>
    <t>A 4</t>
  </si>
  <si>
    <t>Патцх панел, непопуњен за уградњу до 48x РЈ-45 модула, висине 2ХУ,</t>
  </si>
  <si>
    <t>A 5</t>
  </si>
  <si>
    <t xml:space="preserve">Патцх панел, непопуњен за уградњу до 24x РЈ-45 модула, висине 2ХУ, </t>
  </si>
  <si>
    <t>A 6</t>
  </si>
  <si>
    <t>A 7</t>
  </si>
  <si>
    <t>A 8</t>
  </si>
  <si>
    <t>A 9</t>
  </si>
  <si>
    <t>A 10</t>
  </si>
  <si>
    <t>Телекомуникациона утичница са 2xРЈ-45 модула за монтажу у заједничку маску. Утичница се састоји од РЈ-45 Цат 6 модул, схиелдед, све предвиђено за модуларну уградњу</t>
  </si>
  <si>
    <t>A 11</t>
  </si>
  <si>
    <t>A 12</t>
  </si>
  <si>
    <t>A 13</t>
  </si>
  <si>
    <t>A 14</t>
  </si>
  <si>
    <t>A 15</t>
  </si>
  <si>
    <t>A 16</t>
  </si>
  <si>
    <t>A 17</t>
  </si>
  <si>
    <t>A 18</t>
  </si>
  <si>
    <t>Савитљива инсталациона цев у ХФ изведби унутрашњег пречника:</t>
  </si>
  <si>
    <t>A 19</t>
  </si>
  <si>
    <t>∅36мм.</t>
  </si>
  <si>
    <t>∅16мм</t>
  </si>
  <si>
    <t>A 20</t>
  </si>
  <si>
    <t>A 21</t>
  </si>
  <si>
    <t>A 22</t>
  </si>
  <si>
    <t>A 23</t>
  </si>
  <si>
    <t>Повезивање ормана РАЦК са орманом за изједначавање потенцијала, ОИП, каблом типа Н2XХ 1x6мм2. Просечне дузине кабла су 15м.</t>
  </si>
  <si>
    <t>A 24</t>
  </si>
  <si>
    <t>А Структурно кабловски систем СКС укупно</t>
  </si>
  <si>
    <t>А. Структурно кабловски систем СКС укупно</t>
  </si>
  <si>
    <t>Б.  Систем видео надзора укупно</t>
  </si>
  <si>
    <t>СВЕ УКУПНО</t>
  </si>
  <si>
    <t>LZ-H080GXN0</t>
  </si>
  <si>
    <t>LZ-H100GXN0</t>
  </si>
  <si>
    <t>ARNU05GTRC2</t>
  </si>
  <si>
    <t>ARNU07GTRC2</t>
  </si>
  <si>
    <t>ARNU09GTRC2</t>
  </si>
  <si>
    <t>ARNU12GTRC2</t>
  </si>
  <si>
    <t>ARNU15GTQC2</t>
  </si>
  <si>
    <t>ARNU18GTQC2</t>
  </si>
  <si>
    <t>SVEGA A:</t>
  </si>
  <si>
    <t>TEČNA FAZA</t>
  </si>
  <si>
    <t>GASNA FAZA</t>
  </si>
  <si>
    <t>kompl.</t>
  </si>
  <si>
    <t>kg</t>
  </si>
  <si>
    <t>SVEGA B:</t>
  </si>
  <si>
    <t>tip ARUN160LTE4</t>
  </si>
  <si>
    <t>tip ARUN180LTE4</t>
  </si>
  <si>
    <t>tip ARUN200LTE4</t>
  </si>
  <si>
    <t>tip: K 100 XL</t>
  </si>
  <si>
    <t>tip: K 100 M</t>
  </si>
  <si>
    <t>Nabavka i montaža X - komada</t>
  </si>
  <si>
    <t>ø100mm</t>
  </si>
  <si>
    <t>REKAPITULACIJA</t>
  </si>
  <si>
    <t>Набавка и монтажа рекуператора</t>
  </si>
  <si>
    <t>топлоте са ДX измењивачем и</t>
  </si>
  <si>
    <t>производјача истих или бољих карактеристика</t>
  </si>
  <si>
    <t>Набавка и монтажа унутрашњих</t>
  </si>
  <si>
    <t>издувавањем, комплет са конденз пумпицама</t>
  </si>
  <si>
    <t>за централну контролу</t>
  </si>
  <si>
    <t>Материјал за причвршћивање и спајање</t>
  </si>
  <si>
    <t>цеви ситан бакарни фитинг 40 % од</t>
  </si>
  <si>
    <t>Материјал за причвршћивање, спајање и</t>
  </si>
  <si>
    <t>заптивање ПВЦ цеви, колена, рачве и</t>
  </si>
  <si>
    <t>Набавка и монтажа спољашње јединице</t>
  </si>
  <si>
    <t>производ "ЛГ" Р410А, топлотна пумпа,</t>
  </si>
  <si>
    <t>или одговарајућа јединица другог</t>
  </si>
  <si>
    <t>Набавка и монтажа комуникацијског</t>
  </si>
  <si>
    <t>другог производјача истих или бољих карактеристика</t>
  </si>
  <si>
    <t>струја 0,25 А</t>
  </si>
  <si>
    <t>струја 0.17 А</t>
  </si>
  <si>
    <t>димензије (125x325мм)</t>
  </si>
  <si>
    <t>Набавка и монтажа заштитне мрежице за луле</t>
  </si>
  <si>
    <t>Пробни рад инсталације, са регулацијом елемената</t>
  </si>
  <si>
    <t xml:space="preserve">Надстрешница је челична конструкција покривена таласастим лимом. Елементе надстрешнице обележити, пажљиво демонтирати, делове сложити, утоварити у возило и одвезати на депонију коју одреди инвеститор. </t>
  </si>
  <si>
    <t xml:space="preserve">Надстрешница је челична конструкција покривена и опшивена таласастим лимом, са доње стране причвршене равне плоче. Елементе надстрешнице обележити, пажљиво демонтирати, делове сложити, утоварити у возило и одвезати на депонију коју одреди инвеститор. </t>
  </si>
  <si>
    <t xml:space="preserve">Дубина ископа цца 45цм. Ископ извести према пројекту и датим котама. Бочне стране правилно одсећи а дно нивелисати тачношћу, ±2цм. </t>
  </si>
  <si>
    <t>Ограду израдити и уградити по детаљима Спојеве и варове идеално израдити, очистити и обрусити.</t>
  </si>
  <si>
    <t>Фасадне површине, прећи шмирглом и опрати водом, а затим грундирати Подлогом у два премаза и нанети у два премаза боје на фасаду. Малтерисане површине морају бити потпуно суве пре бојења. Пре почетка бојења урадити пробне узорке  .</t>
  </si>
  <si>
    <t xml:space="preserve">Рушење степеништа, са степеницама, од армираног бетона, на главном улазу у постојећу зграду Дома здравља. </t>
  </si>
  <si>
    <t>Ископ земље 3 и 4 категорије у широком откопу,  за формирање нових бетонских површина, паркинг места.</t>
  </si>
  <si>
    <t>Ископ земље 3 и 4 категорије за тракасте темеље,  прилазних рампи и степеништа.</t>
  </si>
  <si>
    <t>Ископ земље 3 и 4 категорије у широком откопу,  за формирање затрављених површина.</t>
  </si>
  <si>
    <t>Набавка, транспорт, разастирање у слојевима, набијање и фино планирање тампон слоја од природног шљунка поред и изнад темеља, на делу новопројектованог улаза у Дом здравља .</t>
  </si>
  <si>
    <t>Шљунљк насипати у слојевима од 20цм,  и набити до потребне збијености 20Мпа.</t>
  </si>
  <si>
    <t>Цена ставке садржи набавку потребног материјала сав транспорт и израду.</t>
  </si>
  <si>
    <t>Цена ставке садржи набавку потребног материјала сав транспорт, израду.</t>
  </si>
  <si>
    <t xml:space="preserve">Цена ставке садржи набавку потребног материјала, сав транспорт као и монтажу и демонтажу лаке покретне скеле. </t>
  </si>
  <si>
    <t>Обрачун по м3 уграђеног бетона</t>
  </si>
  <si>
    <t>Цена ставке садржи набавку потребног материјала, сав транспорт и израду плоча.</t>
  </si>
  <si>
    <t>Мрежаста арматура се обрачунава у Армирачким радовима.</t>
  </si>
  <si>
    <t>АРМИРАЧКИ РАДОВИ</t>
  </si>
  <si>
    <t xml:space="preserve">Набавка, сечење савијање и монтажа арматуре. </t>
  </si>
  <si>
    <t>Armaturu očistiti, iseći, saviti i ugraditi prema projektu i statičkim detaljima. Armaturu pre betoniranja mora da pregleda i pismenim putem odobri statičar.</t>
  </si>
  <si>
    <t>Обрачун по килограму уграђене арматуре</t>
  </si>
  <si>
    <t>Према глобалној спецификацији арматуре из  ПЗИ</t>
  </si>
  <si>
    <t>УКУПНО АРМИРАЧКИ РАДОВИ:</t>
  </si>
  <si>
    <t>6.5.</t>
  </si>
  <si>
    <t>6.6.</t>
  </si>
  <si>
    <t>6.7.</t>
  </si>
  <si>
    <t>6.8.</t>
  </si>
  <si>
    <t>10.7.</t>
  </si>
  <si>
    <t>10.8.</t>
  </si>
  <si>
    <t>10.9.</t>
  </si>
  <si>
    <t>10.10.</t>
  </si>
  <si>
    <t>10.11.</t>
  </si>
  <si>
    <t>10.12.</t>
  </si>
  <si>
    <t>10.13.</t>
  </si>
  <si>
    <t>10.14.</t>
  </si>
  <si>
    <t>10.15.</t>
  </si>
  <si>
    <t>11.3.</t>
  </si>
  <si>
    <t>11.4.</t>
  </si>
  <si>
    <t>11.5.</t>
  </si>
  <si>
    <t>11.6.</t>
  </si>
  <si>
    <t>13.3.</t>
  </si>
  <si>
    <t>13.6.</t>
  </si>
  <si>
    <t>13.7.</t>
  </si>
  <si>
    <t>13.8.</t>
  </si>
  <si>
    <t>13.9.</t>
  </si>
  <si>
    <t>14.5.</t>
  </si>
  <si>
    <t>15.4.</t>
  </si>
  <si>
    <t>16.2.</t>
  </si>
  <si>
    <t>16.3.</t>
  </si>
  <si>
    <t>17.1.</t>
  </si>
  <si>
    <t>Израда армирано бетонских тракастих   темеља бетоном марке МБ 25, делом у земљи, делом у двостраној оплати.</t>
  </si>
  <si>
    <t>Обрачун по м³ мерено урасло приликом ископа</t>
  </si>
  <si>
    <t>Израда лакоармираних бетонских      приступних стаза, до новопројектованог улаза у Дом здравља, бетоном марке МБ25.</t>
  </si>
  <si>
    <t>(58,36+7,87+8,80+19,20)</t>
  </si>
  <si>
    <t>Арматуру очистити, исећи, и уградити према пројекту и статичким детаљима. Арматуру пре бетонирања мора да прегледа и писменим путем одобри статичар.</t>
  </si>
  <si>
    <t>7.1</t>
  </si>
  <si>
    <t>8.3.</t>
  </si>
  <si>
    <t>8.4.</t>
  </si>
  <si>
    <t>8.5.</t>
  </si>
  <si>
    <t>Цена ставке садржи набавку потребног материјала, сав транспорт, и израду.</t>
  </si>
  <si>
    <t>Уградња репера на објекту и суседним објектима за праћење евентуалног слегања.</t>
  </si>
  <si>
    <t>У одређеном временском периоду вршити мерења, након сваке подигнуте етаже и водити дневник мерења.</t>
  </si>
  <si>
    <t xml:space="preserve">Цена ставке садржи набавку и уградњу репера, снимање, од најближег регистрованог репера и проверу. </t>
  </si>
  <si>
    <t>Пре почетка грађевинских радова извршити исколчавање и обележавање трасе водова са издавањем протокола, као и снимање изведеног стања.                                      Извођач је у обавези да одради сва потребна снимања и да исто преда инвеститору, а инвеститор врши даље процедуру за уношење података у КАТ-КОМ.</t>
  </si>
  <si>
    <t>Евентуално снижавање нивоа подземне воде.</t>
  </si>
  <si>
    <t>Евентуално снижење нивоа воде врши се иглофилтерима, за време извођења ископа рова, планирања дна, разупирања, монтажних радова, израде шахтова и затрпавања до изнад нивоа подземне воде.</t>
  </si>
  <si>
    <t>Обрачун ће се извршити по м3 ископа.</t>
  </si>
  <si>
    <t>Свич сличан типу Сwитцх WС-Ц2960С-48ТД-Л 48 портс 2x10Г СФП+ ЛАН басе лиценсе.</t>
  </si>
  <si>
    <t xml:space="preserve">Свич сличан типу Сwитцх WС-Ц2960С-48ТД-Л 24 портс 2x10Г СФП+ ЛАН басе лиценсе </t>
  </si>
  <si>
    <t xml:space="preserve">Модул сличан типу модуле СФП-10Г-ЛРМ </t>
  </si>
  <si>
    <t>Испорука и полагање С/ФТП кабла кат. 6 сличног типу 4П ФРНЦ тестиран до 500МХз, 4 парице, пун пресек, крстасти елемент између парица, ФРНЦ (омотач без халогена, незапаљив и не испушта дим), сертификован. Полагање кабела дуж ПНК регала и у инсталационим цевима у ХФ изведби са увезивањем на оба краја.</t>
  </si>
  <si>
    <r>
      <t>Универзални оптички кабл са омотачем без халогених елемената (ЛСЗХ-лоw смоке зеро халоген) за унутрашњу/спољашњу монтажу са 8 мултимодних ОМ3 влакана, 50/125μм</t>
    </r>
    <r>
      <rPr>
        <sz val="12"/>
        <rFont val="Times New Roman"/>
        <family val="1"/>
      </rPr>
      <t>. Набавка, испорука, увезивање на оба краја и полагање каблова за потребе медјусобног умрежавање повезивања рацк ормана на приземљу, И спрату и ИИ спрату.</t>
    </r>
  </si>
  <si>
    <r>
      <t>Испорука и монтажа дигиталне телефонске централе слична типу КX-ТДА100Д (ИП ПБX)</t>
    </r>
    <r>
      <rPr>
        <sz val="12"/>
        <rFont val="Times New Roman"/>
        <family val="1"/>
      </rPr>
      <t>. Централа мора поседовати дигиталне плоче, аналогне плоче, ДЕЦТ плоче, плоча за мрежни интерфејс и све остало према потребама крајњег корисника. Пратећа опрема: кабинет, дистрибуциони магацини, напојна јединица, софтвер за конфигурисање и управљање. Програмирање и пуштање централе у рад је обухваћено овом ставком. Потребно је обезбедити прикључење на јавну мрежу.</t>
    </r>
  </si>
  <si>
    <t xml:space="preserve">Испорука и монтажа УПС уређаја за потребе телекомуникационе и сигналне опреме  Смарт-УПС X 2200ВА Рацк/Тоwер ЛЦД 200-240В (монтажа у рацк орман на приземљу) </t>
  </si>
  <si>
    <t xml:space="preserve">Испорука и монтажа УПС уређаја за потребе телекомуникационе и сигналне опреме Смарт-УПС X 1500ВА Рацк/Тоwер ЛЦД 200-240В (монтажа у рацк орман на И и ИИ спрату) </t>
  </si>
  <si>
    <t xml:space="preserve">Набавка и испорука колор мрежне доме ХД видео камере 1.37МП, дан/ноћ (Труе даy/нигхт), 1/3“ прогрессиве сцан “Еxмор“ ЦМОС сензор, Цолор: 0.03лx, БW: 0.02лx (Ф1.0/ 30ИРЕ [ИП]), широки динамички опсег (130дБ), 30 слика/с, објектив ауто-ирис вари-фоцал 3-9мм, еасy фоцус, редукција шума, интегрисана интелигентна детекција покрета (ДЕПА), стабилизатор слике услед подрхтавања (Имаге стабилизер), детекција лица (фаце детецтион), напредне аналитичке функције (улазак у забрањену зону, детекција остављених ствари...), Х.26/ЈПЕГ компресија по избору корисника - трипле стреаминг, маx. резолуција 1280x1024 при Х.264/ЈПЕГ компресији при маx. 30 слика/с, ОНВИФ стандард, маx. бр. клијената 20, ПоЕ(5W), радна температура од -10°Ц до +50°Ц.Модел: СНЦ-ЕМ600
</t>
  </si>
  <si>
    <t>Набавка, испорука и инсталација софтвера за ИП системе видео надзора, максимално 28 камера у систему, 1 сервер и 5 истовремених клијената. Са лиценцама за 16 камера. Напомена: софтвер мора бити отвореног типа који подржава велики број произвођача.</t>
  </si>
  <si>
    <t>Испорука и полагање С/ФТП кабла кат. 6 4П ФРНЦ tестиран до 500МХз, 4 парице, пун пресек, крстасти елемент између парица, ФРНЦ (омотач без халогена, незапаљив и не испушта дим), сертификован. Полагање у ребрастим цевима дуж конструкције надстрешнице за спољашњу монтажу. Сви каблови се воде до одговарајућег ПоЕ сwитцх-а у рацк орману.</t>
  </si>
  <si>
    <t>УКУПНО АРМИРАЧКИ  РАДОВИ:</t>
  </si>
  <si>
    <t>Ивичњаци морају бити МБ 40 и имати атесе о потребном квалитету. Уграђивати се могу само здрави и неоштећени ивичњаци.</t>
  </si>
  <si>
    <t>Цена ставке садржи набавки потребног материјала, ивичњаке, израду и сав транспорт.</t>
  </si>
  <si>
    <t xml:space="preserve">Ивичњаци се полажу на припремљену бетонску подлогу од МБ 20. Заливање спојница ширине 1цм извршити цементним малтером, који је справљен у односу 1:3. Висински и ситуациони положај ивичњака мора бити у складу са пројектом.  </t>
  </si>
  <si>
    <t>производ ЛГ или одговарајући уредјај другог</t>
  </si>
  <si>
    <t>датих у даљем тексту</t>
  </si>
  <si>
    <t>напајање: 1 ф, 220-240 В, 50 Хз</t>
  </si>
  <si>
    <t>Радни флуид: Р 410 А</t>
  </si>
  <si>
    <t>радни опсег при спољној температури: -15 до 45 ˚Ц</t>
  </si>
  <si>
    <t>димензије: ВхШхД 365х1667х1140 мм</t>
  </si>
  <si>
    <r>
      <t>капацитет хлађења (УПТ 27</t>
    </r>
    <r>
      <rPr>
        <sz val="11"/>
        <rFont val="Calibri"/>
        <family val="2"/>
        <charset val="238"/>
      </rPr>
      <t>˚</t>
    </r>
    <r>
      <rPr>
        <sz val="11"/>
        <rFont val="Times New Roman"/>
        <family val="1"/>
        <charset val="238"/>
      </rPr>
      <t>Ц СТ,19˚Ц ВТ - СПТ 35˚Ц): 7.45 кВ</t>
    </r>
  </si>
  <si>
    <r>
      <t>капацитет грејања (УПТ 20</t>
    </r>
    <r>
      <rPr>
        <sz val="11"/>
        <rFont val="Calibri"/>
        <family val="2"/>
        <charset val="238"/>
      </rPr>
      <t>˚</t>
    </r>
    <r>
      <rPr>
        <sz val="11"/>
        <rFont val="Times New Roman"/>
        <family val="1"/>
        <charset val="238"/>
      </rPr>
      <t>Ц, - СПТ 7˚Ц СТ, 6˚Ц ВТ): 9.8 кВ</t>
    </r>
  </si>
  <si>
    <t xml:space="preserve">температурни степен искоришћења: 84% </t>
  </si>
  <si>
    <t xml:space="preserve">енталпијски степен искоришћења - хлађење: 64% </t>
  </si>
  <si>
    <t xml:space="preserve">енталпијски степен искоришћења - грејање: 74% </t>
  </si>
  <si>
    <t>количина ваздуха: 800 м3/х</t>
  </si>
  <si>
    <t>напор вентилатора: 170 Па</t>
  </si>
  <si>
    <r>
      <t>капацитет хлађења (УПТ 27</t>
    </r>
    <r>
      <rPr>
        <sz val="11"/>
        <rFont val="Calibri"/>
        <family val="2"/>
        <charset val="238"/>
      </rPr>
      <t>˚</t>
    </r>
    <r>
      <rPr>
        <sz val="11"/>
        <rFont val="Times New Roman"/>
        <family val="1"/>
        <charset val="238"/>
      </rPr>
      <t>Ц СТ,19˚Ц ВТ - СПТ 35˚Ц): 9.12 кВ</t>
    </r>
  </si>
  <si>
    <r>
      <t>капацитет грејања (УПТ 20</t>
    </r>
    <r>
      <rPr>
        <sz val="11"/>
        <rFont val="Calibri"/>
        <family val="2"/>
        <charset val="238"/>
      </rPr>
      <t>˚</t>
    </r>
    <r>
      <rPr>
        <sz val="11"/>
        <rFont val="Times New Roman"/>
        <family val="1"/>
        <charset val="238"/>
      </rPr>
      <t>Ц, - СПТ 7˚Ц СТ, 6˚Ц ВТ): 11.72 кВ</t>
    </r>
  </si>
  <si>
    <t xml:space="preserve">температурни степен искоришћења: 82% </t>
  </si>
  <si>
    <t xml:space="preserve">енталпијски степен искоришћења - хлађење: 60% </t>
  </si>
  <si>
    <t xml:space="preserve">енталпијски степен искоришћења - грејање: 71% </t>
  </si>
  <si>
    <t>количина ваздуха: 1000 м3/х</t>
  </si>
  <si>
    <t>напор вентилатора: 150 Па</t>
  </si>
  <si>
    <r>
      <t>капацитет хлађења (УПТ 27</t>
    </r>
    <r>
      <rPr>
        <sz val="11"/>
        <rFont val="Calibri"/>
        <family val="2"/>
        <charset val="238"/>
      </rPr>
      <t>˚</t>
    </r>
    <r>
      <rPr>
        <sz val="11"/>
        <rFont val="Times New Roman"/>
        <family val="1"/>
        <charset val="238"/>
      </rPr>
      <t>Ц СТ,19˚Ц ВТ - СПТ 35˚Ц): 1.6 кВ</t>
    </r>
  </si>
  <si>
    <r>
      <t>капацитет грејања (УПТ 20</t>
    </r>
    <r>
      <rPr>
        <sz val="11"/>
        <rFont val="Calibri"/>
        <family val="2"/>
        <charset val="238"/>
      </rPr>
      <t>˚</t>
    </r>
    <r>
      <rPr>
        <sz val="11"/>
        <rFont val="Times New Roman"/>
        <family val="1"/>
        <charset val="238"/>
      </rPr>
      <t>Ц, - СПТ 7˚Ц СТ, 6˚Ц ВТ): 1.8 кВ</t>
    </r>
  </si>
  <si>
    <t>димензије: ШхДхв 570х570х214 мм</t>
  </si>
  <si>
    <r>
      <t>капацитет хлађења (УПТ 27</t>
    </r>
    <r>
      <rPr>
        <sz val="11"/>
        <rFont val="Calibri"/>
        <family val="2"/>
        <charset val="238"/>
      </rPr>
      <t>˚</t>
    </r>
    <r>
      <rPr>
        <sz val="11"/>
        <rFont val="Times New Roman"/>
        <family val="1"/>
        <charset val="238"/>
      </rPr>
      <t>Ц СТ,19˚Ц ВТ - СПТ 35˚Ц): 2.2 кВ</t>
    </r>
  </si>
  <si>
    <r>
      <t>капацитет грејања (УПТ 20</t>
    </r>
    <r>
      <rPr>
        <sz val="11"/>
        <rFont val="Calibri"/>
        <family val="2"/>
        <charset val="238"/>
      </rPr>
      <t>˚</t>
    </r>
    <r>
      <rPr>
        <sz val="11"/>
        <rFont val="Times New Roman"/>
        <family val="1"/>
        <charset val="238"/>
      </rPr>
      <t>Ц, - СПТ 7˚Ц СТ, 6˚Ц ВТ): 2.5 кВ</t>
    </r>
  </si>
  <si>
    <r>
      <t>капацитет хлађења (УПТ 27</t>
    </r>
    <r>
      <rPr>
        <sz val="11"/>
        <rFont val="Calibri"/>
        <family val="2"/>
        <charset val="238"/>
      </rPr>
      <t>˚</t>
    </r>
    <r>
      <rPr>
        <sz val="11"/>
        <rFont val="Times New Roman"/>
        <family val="1"/>
        <charset val="238"/>
      </rPr>
      <t>Ц СТ,19˚Ц ВТ - СПТ 35˚Ц): 2.8 кВ</t>
    </r>
  </si>
  <si>
    <r>
      <t>капацитет грејања (УПТ 20</t>
    </r>
    <r>
      <rPr>
        <sz val="11"/>
        <rFont val="Calibri"/>
        <family val="2"/>
        <charset val="238"/>
      </rPr>
      <t>˚</t>
    </r>
    <r>
      <rPr>
        <sz val="11"/>
        <rFont val="Times New Roman"/>
        <family val="1"/>
        <charset val="238"/>
      </rPr>
      <t>Ц, - СПТ 7˚Ц СТ, 6˚Ц ВТ): 3.2 кВ</t>
    </r>
  </si>
  <si>
    <r>
      <t>капацитет хлађења (УПТ 27</t>
    </r>
    <r>
      <rPr>
        <sz val="11"/>
        <rFont val="Calibri"/>
        <family val="2"/>
        <charset val="238"/>
      </rPr>
      <t>˚</t>
    </r>
    <r>
      <rPr>
        <sz val="11"/>
        <rFont val="Times New Roman"/>
        <family val="1"/>
        <charset val="238"/>
      </rPr>
      <t>Ц СТ,19˚Ц ВТ - СПТ 35˚Ц): 3.6 кВ</t>
    </r>
  </si>
  <si>
    <r>
      <t>капацитет грејања (УПТ 20</t>
    </r>
    <r>
      <rPr>
        <sz val="11"/>
        <rFont val="Calibri"/>
        <family val="2"/>
        <charset val="238"/>
      </rPr>
      <t>˚</t>
    </r>
    <r>
      <rPr>
        <sz val="11"/>
        <rFont val="Times New Roman"/>
        <family val="1"/>
        <charset val="238"/>
      </rPr>
      <t>Ц, - СПТ 7˚Ц СТ, 6˚Ц ВТ): 4.0 кВ</t>
    </r>
  </si>
  <si>
    <r>
      <t>капацитет хлађења (УПТ 27</t>
    </r>
    <r>
      <rPr>
        <sz val="11"/>
        <rFont val="Calibri"/>
        <family val="2"/>
        <charset val="238"/>
      </rPr>
      <t>˚</t>
    </r>
    <r>
      <rPr>
        <sz val="11"/>
        <rFont val="Times New Roman"/>
        <family val="1"/>
        <charset val="238"/>
      </rPr>
      <t>Ц СТ,19˚Ц ВТ - СПТ 35˚Ц): 4.5 кВ</t>
    </r>
  </si>
  <si>
    <r>
      <t>капацитет грејања (УПТ 20</t>
    </r>
    <r>
      <rPr>
        <sz val="11"/>
        <rFont val="Calibri"/>
        <family val="2"/>
        <charset val="238"/>
      </rPr>
      <t>˚</t>
    </r>
    <r>
      <rPr>
        <sz val="11"/>
        <rFont val="Times New Roman"/>
        <family val="1"/>
        <charset val="238"/>
      </rPr>
      <t>Ц, - СПТ 7˚Ц СТ, 6˚Ц ВТ): 5 кВ</t>
    </r>
  </si>
  <si>
    <t>димензије: ШхДхв 570х570х256 мм</t>
  </si>
  <si>
    <r>
      <t>капацитет хлађења (УПТ 27</t>
    </r>
    <r>
      <rPr>
        <sz val="11"/>
        <rFont val="Calibri"/>
        <family val="2"/>
        <charset val="238"/>
      </rPr>
      <t>˚</t>
    </r>
    <r>
      <rPr>
        <sz val="11"/>
        <rFont val="Times New Roman"/>
        <family val="1"/>
        <charset val="238"/>
      </rPr>
      <t>Ц СТ,19˚Ц ВТ - СПТ 35˚Ц): 5.6 кВ</t>
    </r>
  </si>
  <si>
    <r>
      <t>капацитет грејања (УПТ 20</t>
    </r>
    <r>
      <rPr>
        <sz val="11"/>
        <rFont val="Calibri"/>
        <family val="2"/>
        <charset val="238"/>
      </rPr>
      <t>˚</t>
    </r>
    <r>
      <rPr>
        <sz val="11"/>
        <rFont val="Times New Roman"/>
        <family val="1"/>
        <charset val="238"/>
      </rPr>
      <t>Ц, - СПТ 7˚Ц СТ, 6˚Ц ВТ): 6.3 кВ</t>
    </r>
  </si>
  <si>
    <t xml:space="preserve">Набавка и монтажа одговарајућих плафонских маски </t>
  </si>
  <si>
    <t>за понуђене плафонске јединице</t>
  </si>
  <si>
    <t>Набавка и монтажа одговарајућих жичних контролера</t>
  </si>
  <si>
    <t>Набавка и монтажа одговарајућих ИЦ даљинских контролера</t>
  </si>
  <si>
    <t>Набавка и монтажа бакарних спојева за цевну мрежу</t>
  </si>
  <si>
    <t>комплет у изолацији за ВРФ системе са адаптерима</t>
  </si>
  <si>
    <t xml:space="preserve">који се прилагођавају потребним прикључцима </t>
  </si>
  <si>
    <t>следећих пројектованих карактеристика</t>
  </si>
  <si>
    <t>ARBLN03321  - Y огранак (течна и гасна фаза)</t>
  </si>
  <si>
    <t>улаз 25.4/12.7 излаз 2 х 19.05/12.7 мм и мање</t>
  </si>
  <si>
    <t>ARBLN07121 - Y огранак  (течна и гасна фаза)</t>
  </si>
  <si>
    <t>улаз 34.9/19.05 излаз 2 х 28.58/19.05 мм и мање</t>
  </si>
  <si>
    <t>ARBL057 - Разделник  (течна и гасна фаза)</t>
  </si>
  <si>
    <t xml:space="preserve">До 7 унутрашњих јединица са максималном </t>
  </si>
  <si>
    <t>улазном гасном цеви 19.05 и течном до 12.7</t>
  </si>
  <si>
    <t>ARBL107 - Разделник</t>
  </si>
  <si>
    <t>До 7 унутрашњих јединица са максималним</t>
  </si>
  <si>
    <t>улазном гасном цеви 28.58 и течном до 12.7</t>
  </si>
  <si>
    <t>ARBL054 - Разделник</t>
  </si>
  <si>
    <t xml:space="preserve">До 4 унутрашње јединице са максималном </t>
  </si>
  <si>
    <t>напајање: 3 ф, 380-415 В, 50 Хз</t>
  </si>
  <si>
    <t>димензије: ШхВхД 1240х1680х760 мм</t>
  </si>
  <si>
    <t>тежина: 245 кг</t>
  </si>
  <si>
    <r>
      <t>номинални капацитет хлађења (УПТ 27</t>
    </r>
    <r>
      <rPr>
        <sz val="11"/>
        <rFont val="Calibri"/>
        <family val="2"/>
        <charset val="238"/>
      </rPr>
      <t>˚</t>
    </r>
    <r>
      <rPr>
        <sz val="11"/>
        <rFont val="Times New Roman"/>
        <family val="1"/>
        <charset val="238"/>
      </rPr>
      <t>Ц СТ,19˚Ц ВТ - СПТ 35˚Ц): 44.8 кВ</t>
    </r>
  </si>
  <si>
    <t>капацитет хлађења (УПТ 27˚Ц СТ,19˚Ц ВТ - СПТ 35˚Ц): при 134 % оптерећења спољне износи 47.99 кВ</t>
  </si>
  <si>
    <r>
      <t>номинални капацитет грејања (УПТ 20</t>
    </r>
    <r>
      <rPr>
        <sz val="11"/>
        <rFont val="Calibri"/>
        <family val="2"/>
        <charset val="238"/>
      </rPr>
      <t>˚</t>
    </r>
    <r>
      <rPr>
        <sz val="11"/>
        <rFont val="Times New Roman"/>
        <family val="1"/>
        <charset val="238"/>
      </rPr>
      <t>Ц, - СПТ 7˚Ц СТ, 6˚Ц ВТ): 50.4 кВ</t>
    </r>
  </si>
  <si>
    <t xml:space="preserve">                              спољне јединице износи 41,1 кВ</t>
  </si>
  <si>
    <t>тежина: 280 кг</t>
  </si>
  <si>
    <r>
      <t>номинални капацитет хлађења (УПТ 27</t>
    </r>
    <r>
      <rPr>
        <sz val="11"/>
        <rFont val="Calibri"/>
        <family val="2"/>
        <charset val="238"/>
      </rPr>
      <t>˚</t>
    </r>
    <r>
      <rPr>
        <sz val="11"/>
        <rFont val="Times New Roman"/>
        <family val="1"/>
        <charset val="238"/>
      </rPr>
      <t>Ц СТ,19˚Ц ВТ - СПТ 35˚Ц): 50.4 кВ</t>
    </r>
  </si>
  <si>
    <t>капацитет хлађења (УПТ 27˚Ц СТ,19˚Ц ВТ - СПТ 35˚Ц): при 120 % оптерећења спољне износи 52,8  кВ</t>
  </si>
  <si>
    <r>
      <t>номинални капацитет грејања (УПТ 20</t>
    </r>
    <r>
      <rPr>
        <sz val="11"/>
        <rFont val="Calibri"/>
        <family val="2"/>
        <charset val="238"/>
      </rPr>
      <t>˚</t>
    </r>
    <r>
      <rPr>
        <sz val="11"/>
        <rFont val="Times New Roman"/>
        <family val="1"/>
        <charset val="238"/>
      </rPr>
      <t>Ц, - СПТ 7˚Ц СТ, 6˚Ц ВТ): 56.7 кВ</t>
    </r>
  </si>
  <si>
    <t xml:space="preserve">                              спољне јединице износи 49 кВ</t>
  </si>
  <si>
    <r>
      <t>номинални капацитет хлађења (УПТ 27</t>
    </r>
    <r>
      <rPr>
        <sz val="11"/>
        <rFont val="Calibri"/>
        <family val="2"/>
        <charset val="238"/>
      </rPr>
      <t>˚</t>
    </r>
    <r>
      <rPr>
        <sz val="11"/>
        <rFont val="Times New Roman"/>
        <family val="1"/>
        <charset val="238"/>
      </rPr>
      <t>Ц СТ,19˚Ц ВТ - СПТ 35˚Ц): 56 кВ</t>
    </r>
  </si>
  <si>
    <t>капацитет хлађења (УПТ 27˚Ц СТ,19˚Ц ВТ - СПТ 35˚Ц): при 128 % оптерећења спољне износи 59  кВ</t>
  </si>
  <si>
    <r>
      <t>номинални капацитет грејања (УПТ 20</t>
    </r>
    <r>
      <rPr>
        <sz val="11"/>
        <rFont val="Calibri"/>
        <family val="2"/>
        <charset val="238"/>
      </rPr>
      <t>˚</t>
    </r>
    <r>
      <rPr>
        <sz val="11"/>
        <rFont val="Times New Roman"/>
        <family val="1"/>
        <charset val="238"/>
      </rPr>
      <t>Ц, - СПТ 7˚Ц СТ, 6˚Ц ВТ): 63 кВ</t>
    </r>
  </si>
  <si>
    <t xml:space="preserve">                              спољне јединице износи 54,6 кВ</t>
  </si>
  <si>
    <t>производ "Сyстемаир" или одговарајућег вентилатора</t>
  </si>
  <si>
    <t>максимални проток 266 м3/х</t>
  </si>
  <si>
    <t>минимални проток 180 м3/х</t>
  </si>
  <si>
    <t>пад притиска минимално 59 Па</t>
  </si>
  <si>
    <t>максимални проток 184 м3/х</t>
  </si>
  <si>
    <t>минимални проток 50 м3/х</t>
  </si>
  <si>
    <t>пад притиска минимално 42 Па</t>
  </si>
  <si>
    <t>петостепени тиристорски контролер брзине</t>
  </si>
  <si>
    <t xml:space="preserve">Испорука и монтажа плафонских алуминијумских </t>
  </si>
  <si>
    <t>решетки комплет са прикључном штуцном, регулатором</t>
  </si>
  <si>
    <t>протока, за уградњу у плафон или гипсани зид.</t>
  </si>
  <si>
    <t>Поменута решетка је са два реда појединачно подесивих</t>
  </si>
  <si>
    <t>ламела, преднји ред је вертикалан</t>
  </si>
  <si>
    <t>125x325 мм</t>
  </si>
  <si>
    <t>225x425 мм</t>
  </si>
  <si>
    <t xml:space="preserve">Испорука и монтажа спољних фиксних жалузина </t>
  </si>
  <si>
    <t>са заштитном мрежицом</t>
  </si>
  <si>
    <t>585x450 мм</t>
  </si>
  <si>
    <t>785x600 мм</t>
  </si>
  <si>
    <t>985x750 мм</t>
  </si>
  <si>
    <t xml:space="preserve">Испорука, монтажа, атестирање и пуштање у погон лифтовског постројења:  </t>
  </si>
  <si>
    <t>комада</t>
  </si>
  <si>
    <t xml:space="preserve">Цена ставке садржи набавку жардињере постављање на одређено место према пројекту. </t>
  </si>
  <si>
    <t>ОПШТА НАПОМЕНА:_x000D_
За све предложене типове светиљки дат је опис . Са карактеристикама тих светиљки радјени су прорачуни осветљаја према подацима и програму самих производјача.У оквиру испоруке светиљки испоручити и одговарајуће светлосне изворе.Позиција обухвата и уградњу светиљки. За светиљке другачијих карактеристика мора се урадити фотометријски прорачун који ће одобрити пројектан. Позиције укључују изворе светла и монтажу.    ПОТЕНЦИЈАЛНИ ПОНУЂАЧИ СУ ДУЖНИ ДА ЗА ПОНУЂЕНЕ СВЕТИЉКЕ НАВЕДУ ТИП И ИМЕ ПРОИЗВОЂАЧА и земљу порекла</t>
  </si>
  <si>
    <t xml:space="preserve">Испорука и уградна кружна компакт флуо светиљка са опалним дифузором 2x26W,   2XФЛЦ-Д/Е 26W/840, Г24 q-3, ИП43,  Светиљка се испоручује са електронским предспојним прибором и компакт флуо изворима светла 26W, Буцк  . Прстен светиљке у белој боји .Флукс светиљке 1634лм, аа флук лампе 3600лм.  Светиљкa  класификациrana према ЦИЕ 100  Oprema  . 2XФЛЦ  26Д . Пречник светиљке је2300, а висина је 90цм.
</t>
  </si>
  <si>
    <t xml:space="preserve">Уградна кружна компакт флуо светиљка са опалним дифузором 1x18W ,  1XФЛЦ 18W/840, Е27, ИП43,Светиљка се испоручује са електронским предспојним прибором и компакт флуо изворима светла 1.  Прстен светиљке у белој боји.  .Флукс светиљке 1634лм, аа флук лампе 3600лм.  Светиљкa  класификациrana према ЦИЕ 100  . Опрема Oprema  .12XФЛЦ  26Д . 
Пречник светиљке је 140, а висина је 60цм. </t>
  </si>
  <si>
    <t>•</t>
  </si>
  <si>
    <t>Надградна зидна флуо светиљка у ИП54 заштити, за директно осветљење. Кућиште светиљке је израђено од екструдираног алуминијумског профила, оптички прибор је опални поликарбонатни дифузор. Светиљка је  1x14W, ИП54, 230В, грло Г5, комплет са електронским предспојним прибором и флуо изворима светла 14W/840,Светиљка је беле ситноструктурне боје, дужине 575мм.  Светиљкa  класификациrana према ЦИЕ 100 Oprema  .4X Т 16 24W  .  Oprema  .2X ХЕ 54W/840</t>
  </si>
  <si>
    <t>Уградна светиљка предвиђена за монтажу у монолитне спуштене плафоне  и спуштене плафоне модула 600x600 са видљивим носачима, са сјајним, алуминијумским, двоструко параболичним, Дарк Лигхт растером израђеним од МироСилвер алуминијума чистоће 99,99%, ограничење бљештања сагласно ЕН 12464 (УГР &lt; 19), ограничење Дарк лимита 65°   ≤1.000  (цд/м²)  сагласно са ЕН 12464, оптичка ефикасност светиљке (ДЛОР) 82%, ДЛ 414, 4 x Т16 ЛУМИЛУX 14W/840, Г5, 230В, ИП20. "или одговарајућа". Светиљка се испоручује са електронским предспојним прибором класе А2, прибором за монтажу и изворима светла 14W/840.  Светиљкa  класификациrana према ЦИЕ 100 Oprema  .4X Т 16 24W  .  Oprema  .2X ХЕ 54W/840</t>
  </si>
  <si>
    <t>•+M67</t>
  </si>
  <si>
    <t>Висећа светиљка са кућиштем од екструдираног алуминијумског профила, са опалним дифузором који  је УВ стабилизован,  структура и дебљина дифузора  обезбедјују униформну и високу дистрибуцију  светла и рефлектором израђеним од МироСилвер алуминијума чистоће 99,99%; ефикасност оптичког прибора (Доwнwард Лигхт Оутпут Ратио) 80%,  ДО/С 128+128 ДО    1xТ16 28W+1xТ16 28W/840, Г5, ИП40, 230В. Светиљка поседује електронским предспојним приборо класе А2; испоручује се са прибором за монтажу, комплет са овесним прибором који омогућава милиметарско подешавање висине светиљке и  флуо изворима светла 28W/840. Завршна обрада светиљке ситностуктурна бела.  Светиљкa  класификациrana према ЦИЕ 100 Oprema  .4X Т 16 24W  .  Oprema  .2X ХЕ 54W/840</t>
  </si>
  <si>
    <t xml:space="preserve">Монофазна "Шуко" прикључница Л+Н+ПЕ  250В 16А,  у модулу 2М, бела за уградњу у модуларну зидну кутију. </t>
  </si>
  <si>
    <t>Мерења и испитивања изведене инсталације сагласно важећим стандардима .</t>
  </si>
  <si>
    <t>Трасирање и ископ рова дим. 0.4x0.8м (на дну рова са десне стране издубити ров 20 цм за полагање уземљивача) у земљишту треће  и четврте категорије запрекама у слободном терену. Постављање два слоја постељице кабла од уситњене земље дебљине по 10 цм, ПВЦ траке за упозорење и ПВЦ штитника, по полагању каблова затрпавање рова и довођење у првобитно стање.</t>
  </si>
  <si>
    <t>Свезиљка  / 1640 / 70W / -29 / 110 B322  Светиљка се састоји од поклопца од дубоко извученог алуминијума, кућишта и носача протектора од алуминијумске легуре ливене под притиском, обојених електростатичким поступком, протектора од термички и механички ојачаног стакла, огледала од електрополираног и анодно заштићеног алуминијума високе чистоће и предспојног уређаја на једноставно изменљивом носачу. Сеалсафе® систем у оптичком  блоку обезбеђује стални степен заштите ИП 66 и непроменљиву фотометријску карактеристику. Степен заштите дела предспојног уређаја је ИП 44.
Степен заптивености:
 Оптички блок: ИП 66 Сеалсафе®
Део предспојног уређаја: ИП 44
Отпорност на удар:  ИК  
Класа електричне изолације:  I
Маса без предспојног уређаја 9,5 kg: 
9,5 кг</t>
  </si>
  <si>
    <t>НАПОМЕНА: 
У свакој позицији где је то потребно, а није другачије наглашено, подразумева се набавка, израда, транспорт, испорука и монтажа материјала и опреме са свим осталим неопходним радњама који су наведени у предмеру радова и техничком извештају који је саставни део конкурсне документације, како би израда позиције била комплетна.
У свакој позицији где је наведен транспорт материјала подразумева се следеће:
Локална самоуправа обезбеђује депонију
У свакој позицији где је наведен транспорт материјала подразумева се даљина транспорта од градилишта до градске комуналне депоније "Лалош", на путу за Куцуру. Ценом обухватити комплетан утовар, транспорт истовар, потребно планирање и трошкове депоније, а на терет понуђача радова.
Сви радови морају бити изведени од стране стручних овлашћених лица, а у потпуности према  прописима и важећим стандардима за ову врсту радова. Сав употребљени материјал мора бити првокласног квалитета.  
Ако је у некој од позиција наведен назив произвођача опреме или материјала подразумева се и опрема или материјал другог произвођача, истих или бољих карактеристика од предмером наведених.
Извођач је дужан да радове изврши у свему према приложеном техничком извештају, техничким условима, предмеру и цртежима, да пре почетка радова добро проучи добијену документацију и да на време упозори на евентуална одступања од постојећих прописа.
Извођач се такође не ослобађа обавезе извођења појединих радова, који су предвиђени предмером, а евентуално нису напоменути у техничком опису или било ком другом прилогу овог пројекта, а што је обавезан да уради по важећим прописима за извођење радова за ову врсту објекта.
Не обрачунава се и не плаћа посебно обезбеђење и организација градилишта укључујући смештај и исхрану радника, формирање покретне радионице, депоније, и остало. Саобраћајно обезбеђење градилишта сигнализацијом у току извођења радова је у обавези инвеститора и не урачунава се у цену.</t>
  </si>
  <si>
    <t>НАПОМЕНА: 
У свакој позицији где је то потребно, а није другачије наглашено, подразумева се набавка, израда, транспорт, испорука и монтажа материјала и опреме са свим осталим неопходним радњама који су наведени у предмеру радова и техничком извештају који је саставни део конкурсне документације, како би израда позиције била комплетна.
У свакој позицији где је наведен транспорт материјала подразумева се следеће:
Локална самоуправа обезбеђује депонију
У свакој позицији где је наведен транспорт материјала подразумева се даљина транспорта од градилишта до градске комуналне депоније "Лалош", на путу за Куцуру. Ценом обухватити комплетан утовар, транспорт истовар, потребно планирање и трошкове депоније, а на терет понуђача радова.
Сви радови морају бити изведени од стране стручних овлашћених лица, а у потпуности према  прописима и важећим стандардима за ову врсту радова. Сав употребљени материјал мора бити првокласног квалитета.  
Ако је у некој од позиција наведен назив произвођача опреме или материјала подразумева се и опрема или материјал другог произвођача, истих или бољих карактеристика од предмером наведених.
Извођач је дужан да радове изврши у свему према приложеном техничком извештају, техничким условима, предмеру и цртежима, да пре почетка радова добро проучи добијену документацију и да на време упозори на евентуална одступања од постојећих прописа.
Извођач се такође не ослобађа обавезе извођења појединих радова, који су предвиђени предмером, а евентуално нису напоменути у техничком опису или било ком другом прилогу овог пројекта, а што је обавезан да уради по важећим прописима за извођење радова за ову врсту објекта.
Не обрачунава се и не плаћа посебно обезбеђење и организација градилишта укључујући смештај и исхрану радника, формирање покретне радионице, депоније, и остало. Саобраћајно обезбеђење градилишта сигнализацијом у току извођења радова је у обавези инвеститора и не урачунава се у цену..</t>
  </si>
  <si>
    <t>ИЗГРАДЊА ОБЈЕКТА СПЕЦИЈАЛИСТИЧКИХ СЛУЖБИ СА ПАСАРЕЛОМ</t>
  </si>
  <si>
    <t>Демонтажа дрвеног степеништа, браварије, столарије и санитарија. Демонтирани материјал сортирати, утоварити у возило и одвести на депонију.</t>
  </si>
  <si>
    <t>Шут прикупити утоварити у возило и одвести на депонију.</t>
  </si>
  <si>
    <t xml:space="preserve">Рушење стабла дрвета у дворишту објекта непосредно уз сам објекат. Дрвено стабло исећи на комаде погодне за транспорт возилом. Корен извадити машински. Исечено дрво утоварити у возило и одвести на депонију. </t>
  </si>
  <si>
    <t xml:space="preserve">Ценом обухватити чишћење, сортирање и слагање ‚‚целе- здраве‚‚ опеке са транспортом и потребну помоћну скелу.  </t>
  </si>
  <si>
    <t>Ценом обухватити чишћење, сортирање и слагање опеке са транспортом.</t>
  </si>
  <si>
    <t xml:space="preserve">На постојећу зграду, који се налази на парцели бр. 4222 уградити четири репера и исти број на новопројектовану зграду, током изградње исте. </t>
  </si>
  <si>
    <t>Ископану земљу утоварити у камион и одвезати на депонију.</t>
  </si>
  <si>
    <t>Коефицијент топлотне проводљивости (λ):0,041W/мК, минимална сирова густина: 30кг/м3, према прорачуну из елабората енергетске ефикасности, који је саставни део пројектне документације.</t>
  </si>
  <si>
    <t>Коефицијент топлотне проводљивости (λ):0,035W/мК, минимална сирова густина: 30кг/м3, према прорачуну из елабората енергетске ефикасности, који је саставни део пројектне документације.</t>
  </si>
  <si>
    <t>Машински ископ земље III-IV категорије у широком откопу, у габариту објекта.</t>
  </si>
  <si>
    <t>Након завршетка ископа појединих етапа, у исте насути песак и набити, до захтеване збијености према прорачуну из пројекта. Набавка и набијање песка обрачунава се у позицији 2.2.</t>
  </si>
  <si>
    <t xml:space="preserve">Дебљина насипа цца 60цм, потребна збијеност, 20Мпа. </t>
  </si>
  <si>
    <t>Дебљина насипа 15цм и 70цм, потребна збијеност, 20Мпа.</t>
  </si>
  <si>
    <t>Укупна дебљина тампон слоја је 15цм. Шљунак насути у слојевима и набити, до потребне збијености, 20Мпа.</t>
  </si>
  <si>
    <t xml:space="preserve">Цена ставке садржи набавку потребног материјала, сав транспорт, и израду зидова, као и монтажу и демонтажу лаке покретне скеле. </t>
  </si>
  <si>
    <t>Израда лакоармиране цементне кошуљице просечне дебљине 4-5 цм, као подлоге за подове.</t>
  </si>
  <si>
    <t>Подлогу за кошуљицу, пре наношења, очистити, и поставити ПВЦ фолију.</t>
  </si>
  <si>
    <t>Врата израдити од алуминијумских профила, побољшаних (Умакс=1,40)   са вишекоморним системом профила, термо прекидом и системом дуплог заптивања ЕПДМ гумом, по шеми столарије и детаљима.</t>
  </si>
  <si>
    <t>Врата застаклити стаклом д=4+12+4мм (Умакс=1,10), испуна аргон, према шеми фасадне браварије и дихтовати трајно еластичном ЕПДМ гумом, вулканизованом на угловима.</t>
  </si>
  <si>
    <t>Боја и тон (боја графита РАЛ 7015), по избору пројектанта.</t>
  </si>
  <si>
    <t>Прозоре израдити од алуминијумских профила, побољшаних (Умакс=1,40) са вишекоморним системом и термо прекидом, по шеми и детаљима из пројектне документације.</t>
  </si>
  <si>
    <t>Крила прозора застаклити двослојним стаклом д=4+12+4мм, (Умакс=1,10) испуна аргон и дихтовати ЕПДМ гумом.</t>
  </si>
  <si>
    <r>
      <t>Уграђена камена вуна мора имати термичке и механичке особине прописане елаборатом грађевинске физике. (дБ-52, W/m</t>
    </r>
    <r>
      <rPr>
        <sz val="12"/>
        <rFont val="Arial"/>
        <family val="2"/>
      </rPr>
      <t>²</t>
    </r>
    <r>
      <rPr>
        <sz val="12"/>
        <rFont val="Times New Roman"/>
        <family val="1"/>
        <charset val="238"/>
      </rPr>
      <t>K-0.47)</t>
    </r>
  </si>
  <si>
    <t>Уграђена камена вуна мора имати термичке и механичке особине прописане елаборатом грађевинске физике. (дБ-52, W/m²K-0.47)</t>
  </si>
  <si>
    <t>Преградни неносив зид израдити од двоструких поцинкованих профила ЦW 50+50, поставити камену вуну дебљине 50 мм и обложити двоструким импрегнираним гипс картонским плочама, по пројекту и упутству      произвођача.  (дБ-52, W/m²K-0.47)</t>
  </si>
  <si>
    <t>Сав настали отпад однети на градску    депонију комуналног отпада, "Лалош", на путу за Куцуру.</t>
  </si>
  <si>
    <t>Све површине брусити, импрегнирати и китовати мања оштећења. Предбојити и исправити тонираним дисперзионим китом, а затим бојити дисперзивном бојом до добијања равномерног тона.</t>
  </si>
  <si>
    <t>Све површине окречити четком први пут, брусити и гипсовати мања оштећења и пукотине, а затим окречити до добијања равномерног тона.</t>
  </si>
  <si>
    <r>
      <t xml:space="preserve">Уградна светиљка за гипсане и модуларне плафоне 600x600, израђена од бело бојеног челичног лима дебљине 0.6мм, са опалним дифузором који  је УВ стабилизован,  структура и дебљина дифузора  обезбедјују униформну и високу дистрибуцију  светла   424 ДО   4xТ16 24W/840, Г5, ИП40, 230В. </t>
    </r>
    <r>
      <rPr>
        <sz val="12"/>
        <rFont val="Times New Roman"/>
        <family val="1"/>
      </rPr>
      <t>.</t>
    </r>
    <r>
      <rPr>
        <sz val="12"/>
        <rFont val="Times New Roman"/>
        <family val="1"/>
        <charset val="238"/>
      </rPr>
      <t>Светиљка се испоручује у комплету са електронским прибором класе А2, прибором за монтажу и изворима светла од 24W/840.  .Флукс светиљке 4720лм, аа флук лампе70000лм.  Светиљкa  класификациrana према ЦИЕ 100   . Oprema  .2X ХЕ 54W/840  Димензије светиљке су 600X600X80</t>
    </r>
  </si>
  <si>
    <r>
      <t xml:space="preserve">Надградна светиљка израђена од бело бојеног челичног лима дебљине 0.6мм, са опалним дифузором који  је УВ стабилизован,  структура и дебљина дифузора  обезбедјују униформну и високу дистрибуцију  светла и алуминијумским оквиром дифузораса,  254 ДО   4xТ16 54W/840, Г5, ИП40, 230В. </t>
    </r>
    <r>
      <rPr>
        <sz val="12"/>
        <rFont val="Times New Roman"/>
        <family val="1"/>
      </rPr>
      <t xml:space="preserve"> </t>
    </r>
    <r>
      <rPr>
        <sz val="12"/>
        <rFont val="Times New Roman"/>
        <family val="1"/>
        <charset val="238"/>
      </rPr>
      <t>Светиљка се испоручује у комплету са електронским прибором класе А2, прибором за монтажу и изворима светла од 54W/840..  Флукс светиљке 4833лм, аа флук лампе 8900лм.  Светиљкa  класификациrana према ЦИЕ 100 Oprema  .4X Т 16 24W  .  Oprema  .2X ХЕ 54W/840</t>
    </r>
  </si>
  <si>
    <r>
      <t xml:space="preserve">Уградна светиљка за појединачну монтажу у гипсане спуштене плафоне израђена од бело бојеног челичног лима дебљине 0.6мм, опалним дифузором који  је УВ стабилизован,  структура и дебљина дифузора  обезбедјују униформну и високу дистрибуцију  светла и екструдираним алуминијумским оквиром дифузора,   424 ДО   4 x Т16   24W/840, Г5, ИП55, 230В.  </t>
    </r>
    <r>
      <rPr>
        <sz val="12"/>
        <rFont val="Times New Roman"/>
        <family val="1"/>
      </rPr>
      <t>.</t>
    </r>
    <r>
      <rPr>
        <sz val="12"/>
        <rFont val="Times New Roman"/>
        <family val="1"/>
        <charset val="238"/>
      </rPr>
      <t xml:space="preserve">Светиљка се испоручује у комплету са електронским прибором класе А2, прибором за монтажу и изворима светла од 24W/840.  </t>
    </r>
  </si>
  <si>
    <r>
      <t xml:space="preserve">Противпанична светиљка са кутијом за уградњу на зид, у приправном споју са аутономијом 3х, флуо-компакт цев 1x11W. .Заштита ИП40.  </t>
    </r>
    <r>
      <rPr>
        <sz val="12"/>
        <rFont val="Times New Roman"/>
        <family val="1"/>
      </rPr>
      <t xml:space="preserve">е </t>
    </r>
    <r>
      <rPr>
        <sz val="12"/>
        <rFont val="Times New Roman"/>
        <family val="1"/>
        <charset val="238"/>
      </rPr>
      <t xml:space="preserve">Комплет светиљка са прибором за монтажу. </t>
    </r>
  </si>
  <si>
    <t>Инсталациони материјал сл.типу   у заштити ИП20 за уградњу у завршну обраду зида, камплет са инстал. модулном кутијом,носачем и маском , за рад на 250 В. Испорука, монтажа и повезивање:</t>
  </si>
  <si>
    <t xml:space="preserve">Испорука и уградња штапне хватаљке са уређајем за рано стартовање  са временом предњачења Δт 25 μс, комплетно са важећим атестима. </t>
  </si>
  <si>
    <r>
      <t xml:space="preserve">Светиљка  / 1365 / 100W / -32 / 32 </t>
    </r>
    <r>
      <rPr>
        <sz val="12"/>
        <rFont val="Times New Roman"/>
        <family val="1"/>
      </rPr>
      <t xml:space="preserve">    </t>
    </r>
    <r>
      <rPr>
        <sz val="12"/>
        <rFont val="Times New Roman"/>
        <family val="1"/>
        <charset val="238"/>
      </rPr>
      <t xml:space="preserve">Светољка је  робусна, ефикасноа и елегатна.Због огледала и различитих врста прибора, омогућено је савршено контролисано осветљење, како фасада , тако и јавних површина, путева, спортских терена и великих површина различите намене.
Пројектор, у четири величине, за сијалице снаге до 1000W, састоји се од кућишта од алуминијумске легуре ливене под притиском, протектора од механички и термички веома отпорног стакла, огледала од електрополираног и анодно заштићеног алуминијума високе чистоће и предспојног уређаја на једноставно изменљивом носачу.
Захваљујући силиконској заптивци између делова кућишта, степен заштите оптичког дела и дела предспојног уређаја је веома висок, ИП 66. одговарајућа.  </t>
    </r>
  </si>
  <si>
    <t xml:space="preserve">Светиљка   / 1365 /700W / -32 / 32 ветољка је  робусна, ефикасноа и елегатна.Због огледала и различитих врста прибора, омогућено је савршено контролисано осветљење, како фасада , тако и јавних површина, путева, спортских терена и великих површина различите намене.
Пројектор, у четири величине, за сијалице снаге до 1000W, састоји се од кућишта од алуминијумске легуре ливене под притиском, протектора од механички и термички веома отпорног стакла, огледала од електрополираног и анодно заштићеног алуминијума високе чистоће и предспојног уређаја на једноставно изменљивом носачу.
Захваљујући силиконској заптивци између делова кућишта, степен заштите оптичког дела и дела предспојног уређаја је веома висок, ИП 66. одговарајућа.  </t>
  </si>
  <si>
    <t>радни опсег при спољној температури: -25 до 18 ˚Ц грејање и -10 до 43 хлађење  ˚Ц</t>
  </si>
  <si>
    <t>капацитет грејања (УПТ 20˚Ц, - СПТ -15,1 ˚Ц СТ, -16,4˚Ц ВТ): при 134 % оптерећења</t>
  </si>
  <si>
    <t>улазна струја –номинално/пројектно хлађење: 11.5/10,7 кВ</t>
  </si>
  <si>
    <t>улазна струја -номинално/пројектногрејање: 13.4/16 кВ</t>
  </si>
  <si>
    <t>капацитет грејања (УПТ 20˚Ц, - СПТ -15,1 ˚Ц СТ, -16,4˚Ц ВТ): при 120 % оптерећења</t>
  </si>
  <si>
    <t>улазна струја –номинално/пројектнохлађење: 10.9/10 кВ</t>
  </si>
  <si>
    <t>улазна струја –номинално/пројектногрејање: 12,5/19,6 кВ</t>
  </si>
  <si>
    <t>капацитет грејања (УПТ 20˚Ц, - СПТ -15,1 ˚Ц СТ, -16,4˚Ц ВТ): при 128 % оптерећења</t>
  </si>
  <si>
    <t>улазна струја –номинално/пројектнохлађење: 12,8/11,8 кВ</t>
  </si>
  <si>
    <t>улазна струја –номинално/пројектногрејање: 14,8/22,1 кВ</t>
  </si>
  <si>
    <r>
      <rPr>
        <sz val="11"/>
        <rFont val="Calibri"/>
        <family val="2"/>
        <charset val="238"/>
      </rPr>
      <t>Ø</t>
    </r>
    <r>
      <rPr>
        <sz val="11"/>
        <rFont val="Times New Roman"/>
        <family val="1"/>
        <charset val="238"/>
      </rPr>
      <t>100 мм</t>
    </r>
  </si>
  <si>
    <t>Дрво и гране одсећи, стабло пажљиво порушити и извадити пањ и корен стабла. Све утоварити на камион и одвести на градску депонију комуналног отпада, "Лалош", на путу за Куцуру.</t>
  </si>
  <si>
    <t>Сав шут из дворишта прикупити, утоварити у камион и одвезати на градску депонију комуналног отпада, "Лалош", на путу за Куцуру.</t>
  </si>
  <si>
    <t>Употребљив материјал очистити и одвести на локацију коју одреди инвеститор. Шут утоварити и одвести на градску депонију,  комуналног отпада, "Лалош", на путу за Куцуру.</t>
  </si>
  <si>
    <t>Шут покупити, утоварити на камион и одвезати на градску депонију  комуналног отпада, "Лалош", на путу за Куцуру.</t>
  </si>
  <si>
    <t xml:space="preserve"> Шут прикупити, изнети, утоварити на камион и одвести на градску депонију комуналног отпада, "Лалош", на путу за Куцуру.</t>
  </si>
  <si>
    <t>Скинути све слојеве. Шут изнети, утоварити на 
камион и одвести на градску депонију комуналног отпада, "Лалош", на путу за Куцуру.</t>
  </si>
  <si>
    <t>Скинути све слојеве. Шут изнети, утоварити на 
камион и одвести на градску депонију  комуналног отпада, "Лалош", на путу за Куцуру.</t>
  </si>
  <si>
    <t>Укупна дебљина тампон слоја је 20цм, испод бетонског платоа, и 10цм, испод темеља рампе и степеништа. Шљунак насути у слојевима и набити, до потребне збијености, 20Мпа.</t>
  </si>
  <si>
    <t>Утоварити земљу на камион и одвести на градску депонију, депонију  комуналног отпада, "Лалош", на путу за Куцуру.</t>
  </si>
  <si>
    <t>Набавка и постављање бетонских ивичњака, димензија 40x20x12цм, двослојно обојени сивом бојом, са завршном обрадом кварцним песком.</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</si>
</sst>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D_i_n_._-;\-* #,##0.00\ _D_i_n_._-;_-* &quot;-&quot;??\ _D_i_n_._-;_-@_-"/>
    <numFmt numFmtId="164" formatCode="_-* #,##0.00\ _€_-;\-* #,##0.00\ _€_-;_-* &quot;-&quot;??\ _€_-;_-@_-"/>
    <numFmt numFmtId="165" formatCode="_([$€-2]* #,##0.00_);_([$€-2]* \(#,##0.00\);_([$€-2]* &quot;-&quot;??_)"/>
    <numFmt numFmtId="166" formatCode="#."/>
    <numFmt numFmtId="167" formatCode="#,###,###.00"/>
    <numFmt numFmtId="168" formatCode="#,##0.00\ [$Din.-C1A]"/>
    <numFmt numFmtId="169" formatCode="#,##0.00\ [$RSD-1]"/>
    <numFmt numFmtId="170" formatCode="0.0"/>
    <numFmt numFmtId="171" formatCode="0.000"/>
    <numFmt numFmtId="172" formatCode="#,##0.00&quot; Din.&quot;"/>
  </numFmts>
  <fonts count="61">
    <font>
      <sz val="12"/>
      <color theme="1"/>
      <name val="Calibri"/>
      <family val="2"/>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scheme val="minor"/>
    </font>
    <font>
      <b/>
      <sz val="12"/>
      <color theme="1"/>
      <name val="Calibri"/>
      <family val="2"/>
      <charset val="238"/>
      <scheme val="minor"/>
    </font>
    <font>
      <sz val="11"/>
      <name val="Arial"/>
      <family val="2"/>
    </font>
    <font>
      <sz val="10"/>
      <name val="Arial"/>
      <family val="2"/>
      <charset val="238"/>
    </font>
    <font>
      <sz val="11"/>
      <name val="Arial"/>
      <family val="2"/>
      <charset val="238"/>
    </font>
    <font>
      <sz val="9"/>
      <name val="Arial"/>
      <family val="2"/>
      <charset val="238"/>
    </font>
    <font>
      <sz val="12"/>
      <name val="Arial"/>
      <family val="2"/>
    </font>
    <font>
      <sz val="10"/>
      <name val="Arial"/>
      <family val="2"/>
    </font>
    <font>
      <i/>
      <sz val="9"/>
      <name val="Arial"/>
      <family val="2"/>
    </font>
    <font>
      <sz val="11"/>
      <color rgb="FF006100"/>
      <name val="Arial"/>
      <family val="2"/>
      <charset val="238"/>
    </font>
    <font>
      <sz val="12"/>
      <name val="Arial"/>
      <family val="2"/>
    </font>
    <font>
      <sz val="12"/>
      <name val="Arial"/>
      <family val="2"/>
      <charset val="238"/>
    </font>
    <font>
      <sz val="12"/>
      <name val="Times_Lat"/>
      <family val="1"/>
    </font>
    <font>
      <sz val="12"/>
      <color rgb="FFFF0000"/>
      <name val="Times_Lat"/>
      <family val="1"/>
    </font>
    <font>
      <sz val="12"/>
      <color theme="1"/>
      <name val="Times New Roman"/>
      <family val="1"/>
      <charset val="238"/>
    </font>
    <font>
      <sz val="12"/>
      <color rgb="FFFF0000"/>
      <name val="Times New Roman"/>
      <family val="1"/>
      <charset val="238"/>
    </font>
    <font>
      <sz val="12"/>
      <name val="Times New Roman"/>
      <family val="1"/>
      <charset val="238"/>
    </font>
    <font>
      <b/>
      <sz val="12"/>
      <color theme="1"/>
      <name val="Times New Roman"/>
      <family val="1"/>
      <charset val="238"/>
    </font>
    <font>
      <sz val="12"/>
      <color indexed="8"/>
      <name val="Times New Roman"/>
      <family val="1"/>
      <charset val="238"/>
    </font>
    <font>
      <b/>
      <sz val="12"/>
      <color indexed="8"/>
      <name val="Times New Roman"/>
      <family val="1"/>
      <charset val="238"/>
    </font>
    <font>
      <b/>
      <sz val="12"/>
      <name val="Times New Roman"/>
      <family val="1"/>
      <charset val="238"/>
    </font>
    <font>
      <b/>
      <i/>
      <sz val="12"/>
      <name val="Times New Roman"/>
      <family val="1"/>
      <charset val="238"/>
    </font>
    <font>
      <i/>
      <sz val="12"/>
      <name val="Times New Roman"/>
      <family val="1"/>
      <charset val="238"/>
    </font>
    <font>
      <b/>
      <u/>
      <sz val="12"/>
      <name val="Times New Roman"/>
      <family val="1"/>
      <charset val="238"/>
    </font>
    <font>
      <sz val="12"/>
      <color rgb="FFFF0000"/>
      <name val="Times New Roman"/>
      <family val="1"/>
    </font>
    <font>
      <sz val="12"/>
      <name val="Times New Roman"/>
      <family val="1"/>
    </font>
    <font>
      <i/>
      <sz val="11"/>
      <color rgb="FF7F7F7F"/>
      <name val="Arial"/>
      <family val="2"/>
    </font>
    <font>
      <b/>
      <sz val="12"/>
      <name val="Times New Roman"/>
      <family val="1"/>
      <charset val="1"/>
    </font>
    <font>
      <sz val="12"/>
      <name val="Times New Roman"/>
      <family val="1"/>
      <charset val="1"/>
    </font>
    <font>
      <sz val="12"/>
      <name val="Arial"/>
      <family val="2"/>
      <charset val="1"/>
    </font>
    <font>
      <sz val="12"/>
      <name val="Times_Lat"/>
      <family val="1"/>
      <charset val="1"/>
    </font>
    <font>
      <sz val="12"/>
      <color rgb="FF000000"/>
      <name val="Times New Roman"/>
      <family val="1"/>
      <charset val="1"/>
    </font>
    <font>
      <sz val="12"/>
      <color rgb="FFFF0000"/>
      <name val="Times New Roman"/>
      <family val="1"/>
      <charset val="1"/>
    </font>
    <font>
      <b/>
      <u/>
      <sz val="12"/>
      <name val="Times New Roman"/>
      <family val="1"/>
      <charset val="1"/>
    </font>
    <font>
      <b/>
      <sz val="10"/>
      <name val="Arial"/>
      <family val="2"/>
      <charset val="238"/>
    </font>
    <font>
      <b/>
      <sz val="11"/>
      <name val="Arial"/>
      <family val="2"/>
      <charset val="238"/>
    </font>
    <font>
      <sz val="11"/>
      <name val="Times New Roman"/>
      <family val="1"/>
      <charset val="238"/>
    </font>
    <font>
      <sz val="10"/>
      <name val="Arial"/>
      <family val="2"/>
      <charset val="1"/>
    </font>
    <font>
      <b/>
      <sz val="12"/>
      <name val="Times New Roman"/>
      <family val="1"/>
    </font>
    <font>
      <b/>
      <sz val="10"/>
      <name val="Arial"/>
      <family val="2"/>
      <charset val="1"/>
    </font>
    <font>
      <b/>
      <u/>
      <sz val="12"/>
      <name val="Times New Roman"/>
      <family val="1"/>
    </font>
    <font>
      <b/>
      <i/>
      <sz val="13"/>
      <name val="Times New Roman"/>
      <family val="1"/>
      <charset val="238"/>
    </font>
    <font>
      <sz val="12"/>
      <name val="Calibri"/>
      <family val="2"/>
      <scheme val="minor"/>
    </font>
    <font>
      <sz val="11"/>
      <name val="Calibri"/>
      <family val="2"/>
      <charset val="238"/>
    </font>
    <font>
      <sz val="11"/>
      <name val="Arial"/>
      <family val="2"/>
      <charset val="1"/>
    </font>
    <font>
      <sz val="10"/>
      <name val="Times New Roman"/>
      <family val="1"/>
      <charset val="238"/>
    </font>
    <font>
      <sz val="12"/>
      <name val="Courier New"/>
      <family val="3"/>
      <charset val="238"/>
    </font>
    <font>
      <b/>
      <sz val="15"/>
      <name val="Times New Roman"/>
      <family val="1"/>
      <charset val="238"/>
    </font>
    <font>
      <i/>
      <sz val="11"/>
      <name val="Times New Roman"/>
      <family val="1"/>
      <charset val="238"/>
    </font>
    <font>
      <b/>
      <sz val="11"/>
      <name val="Times New Roman"/>
      <family val="1"/>
      <charset val="238"/>
    </font>
    <font>
      <sz val="10"/>
      <name val="Calibri"/>
      <family val="2"/>
      <scheme val="minor"/>
    </font>
    <font>
      <sz val="11"/>
      <name val="Times_Lat"/>
      <family val="1"/>
    </font>
    <font>
      <sz val="11"/>
      <color rgb="FF000000"/>
      <name val="Calibri"/>
      <family val="2"/>
    </font>
    <font>
      <sz val="10"/>
      <color rgb="FF000000"/>
      <name val="Arial"/>
      <family val="2"/>
    </font>
  </fonts>
  <fills count="18">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FF00"/>
        <bgColor indexed="64"/>
      </patternFill>
    </fill>
    <fill>
      <patternFill patternType="solid">
        <fgColor indexed="13"/>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indexed="49"/>
        <bgColor indexed="64"/>
      </patternFill>
    </fill>
    <fill>
      <patternFill patternType="solid">
        <fgColor rgb="FFFFFF00"/>
        <bgColor rgb="FFCCFF00"/>
      </patternFill>
    </fill>
    <fill>
      <patternFill patternType="solid">
        <fgColor rgb="FFC0C0C0"/>
        <bgColor rgb="FFDDD9C3"/>
      </patternFill>
    </fill>
    <fill>
      <patternFill patternType="solid">
        <fgColor rgb="FFFFFFFF"/>
        <bgColor rgb="FFCCFFFF"/>
      </patternFill>
    </fill>
    <fill>
      <patternFill patternType="solid">
        <fgColor rgb="FFC6EFCE"/>
        <bgColor rgb="FFD9D9D9"/>
      </patternFill>
    </fill>
    <fill>
      <patternFill patternType="solid">
        <fgColor theme="9" tint="0.79998168889431442"/>
        <bgColor indexed="64"/>
      </patternFill>
    </fill>
  </fills>
  <borders count="117">
    <border>
      <left/>
      <right/>
      <top/>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hair">
        <color theme="1" tint="0.499984740745262"/>
      </top>
      <bottom/>
      <diagonal/>
    </border>
    <border>
      <left/>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double">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double">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style="hair">
        <color auto="1"/>
      </right>
      <top style="thin">
        <color auto="1"/>
      </top>
      <bottom style="double">
        <color auto="1"/>
      </bottom>
      <diagonal/>
    </border>
    <border>
      <left/>
      <right/>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double">
        <color auto="1"/>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hair">
        <color auto="1"/>
      </right>
      <top style="double">
        <color auto="1"/>
      </top>
      <bottom/>
      <diagonal/>
    </border>
    <border>
      <left/>
      <right style="hair">
        <color auto="1"/>
      </right>
      <top/>
      <bottom/>
      <diagonal/>
    </border>
    <border>
      <left style="hair">
        <color auto="1"/>
      </left>
      <right style="thin">
        <color auto="1"/>
      </right>
      <top style="double">
        <color auto="1"/>
      </top>
      <bottom/>
      <diagonal/>
    </border>
    <border>
      <left style="hair">
        <color auto="1"/>
      </left>
      <right style="thin">
        <color auto="1"/>
      </right>
      <top/>
      <bottom/>
      <diagonal/>
    </border>
    <border>
      <left style="hair">
        <color auto="1"/>
      </left>
      <right style="hair">
        <color auto="1"/>
      </right>
      <top style="double">
        <color auto="1"/>
      </top>
      <bottom/>
      <diagonal/>
    </border>
    <border>
      <left style="hair">
        <color indexed="64"/>
      </left>
      <right/>
      <top style="thin">
        <color indexed="64"/>
      </top>
      <bottom style="hair">
        <color indexed="64"/>
      </bottom>
      <diagonal/>
    </border>
    <border>
      <left style="hair">
        <color auto="1"/>
      </left>
      <right style="hair">
        <color auto="1"/>
      </right>
      <top/>
      <bottom style="thin">
        <color indexed="64"/>
      </bottom>
      <diagonal/>
    </border>
    <border>
      <left/>
      <right style="hair">
        <color auto="1"/>
      </right>
      <top/>
      <bottom style="thin">
        <color indexed="64"/>
      </bottom>
      <diagonal/>
    </border>
    <border>
      <left style="hair">
        <color auto="1"/>
      </left>
      <right/>
      <top style="hair">
        <color auto="1"/>
      </top>
      <bottom/>
      <diagonal/>
    </border>
    <border>
      <left/>
      <right style="thin">
        <color indexed="64"/>
      </right>
      <top style="hair">
        <color auto="1"/>
      </top>
      <bottom/>
      <diagonal/>
    </border>
    <border>
      <left style="hair">
        <color auto="1"/>
      </left>
      <right/>
      <top/>
      <bottom/>
      <diagonal/>
    </border>
    <border>
      <left style="hair">
        <color auto="1"/>
      </left>
      <right/>
      <top/>
      <bottom style="hair">
        <color indexed="64"/>
      </bottom>
      <diagonal/>
    </border>
    <border>
      <left/>
      <right style="thin">
        <color indexed="64"/>
      </right>
      <top/>
      <bottom style="hair">
        <color indexed="64"/>
      </bottom>
      <diagonal/>
    </border>
    <border>
      <left style="hair">
        <color auto="1"/>
      </left>
      <right/>
      <top style="hair">
        <color auto="1"/>
      </top>
      <bottom/>
      <diagonal/>
    </border>
    <border>
      <left/>
      <right/>
      <top/>
      <bottom style="hair">
        <color theme="1" tint="0.499984740745262"/>
      </bottom>
      <diagonal/>
    </border>
  </borders>
  <cellStyleXfs count="19">
    <xf numFmtId="0" fontId="0" fillId="0" borderId="0"/>
    <xf numFmtId="165" fontId="7" fillId="0" borderId="0" applyFont="0" applyFill="0" applyBorder="0" applyAlignment="0" applyProtection="0"/>
    <xf numFmtId="4" fontId="9" fillId="0" borderId="1">
      <alignment vertical="top" wrapText="1"/>
    </xf>
    <xf numFmtId="0" fontId="10" fillId="0" borderId="0"/>
    <xf numFmtId="164" fontId="7" fillId="0" borderId="0" applyFont="0" applyFill="0" applyBorder="0" applyAlignment="0" applyProtection="0"/>
    <xf numFmtId="0" fontId="16" fillId="11" borderId="0" applyNumberFormat="0" applyBorder="0" applyAlignment="0" applyProtection="0"/>
    <xf numFmtId="0" fontId="17" fillId="0" borderId="0"/>
    <xf numFmtId="0" fontId="14" fillId="0" borderId="0">
      <alignment vertical="top"/>
    </xf>
    <xf numFmtId="0" fontId="17" fillId="0" borderId="0"/>
    <xf numFmtId="0" fontId="14" fillId="0" borderId="0"/>
    <xf numFmtId="0" fontId="10" fillId="0" borderId="0"/>
    <xf numFmtId="0" fontId="33" fillId="0" borderId="0" applyNumberFormat="0" applyFill="0" applyBorder="0" applyAlignment="0" applyProtection="0"/>
    <xf numFmtId="0" fontId="16" fillId="16" borderId="0" applyBorder="0" applyProtection="0"/>
    <xf numFmtId="0" fontId="13" fillId="0" borderId="0"/>
    <xf numFmtId="0" fontId="13" fillId="0" borderId="0"/>
    <xf numFmtId="0" fontId="59" fillId="0" borderId="0" applyNumberFormat="0" applyBorder="0" applyProtection="0"/>
    <xf numFmtId="0" fontId="60" fillId="0" borderId="0" applyNumberFormat="0" applyBorder="0" applyProtection="0"/>
    <xf numFmtId="0" fontId="60" fillId="0" borderId="0" applyNumberFormat="0" applyBorder="0" applyProtection="0"/>
    <xf numFmtId="0" fontId="60" fillId="0" borderId="0" applyNumberFormat="0" applyBorder="0" applyProtection="0"/>
  </cellStyleXfs>
  <cellXfs count="1120">
    <xf numFmtId="0" fontId="0" fillId="0" borderId="0" xfId="0"/>
    <xf numFmtId="0" fontId="0" fillId="0" borderId="0" xfId="0" applyAlignment="1">
      <alignment horizontal="center" vertical="center"/>
    </xf>
    <xf numFmtId="0" fontId="0" fillId="0" borderId="0" xfId="0" applyBorder="1"/>
    <xf numFmtId="0" fontId="0" fillId="0" borderId="0" xfId="0" applyFont="1" applyBorder="1" applyAlignment="1">
      <alignment horizontal="left" vertical="top" wrapText="1"/>
    </xf>
    <xf numFmtId="0" fontId="0" fillId="0" borderId="2" xfId="0" applyBorder="1"/>
    <xf numFmtId="0" fontId="0" fillId="0" borderId="0" xfId="0" applyFont="1" applyFill="1" applyBorder="1" applyAlignment="1">
      <alignment horizontal="left" vertical="top" wrapText="1"/>
    </xf>
    <xf numFmtId="0" fontId="8" fillId="0" borderId="0" xfId="0" applyFont="1" applyBorder="1" applyAlignment="1">
      <alignment horizontal="left" vertical="top" wrapText="1"/>
    </xf>
    <xf numFmtId="0" fontId="0" fillId="0" borderId="2" xfId="0" applyFont="1" applyFill="1" applyBorder="1" applyAlignment="1">
      <alignment horizontal="left" vertical="top" wrapText="1"/>
    </xf>
    <xf numFmtId="49" fontId="0" fillId="2" borderId="0" xfId="0" applyNumberFormat="1" applyFill="1"/>
    <xf numFmtId="0" fontId="0" fillId="5" borderId="0" xfId="0" applyFill="1"/>
    <xf numFmtId="0" fontId="0" fillId="5" borderId="2" xfId="0" applyFill="1" applyBorder="1"/>
    <xf numFmtId="49" fontId="0" fillId="2" borderId="2" xfId="0" applyNumberFormat="1" applyFill="1" applyBorder="1"/>
    <xf numFmtId="0" fontId="5" fillId="0"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2" xfId="0" applyFont="1" applyFill="1" applyBorder="1" applyAlignment="1">
      <alignment horizontal="left" vertical="top" wrapText="1"/>
    </xf>
    <xf numFmtId="0" fontId="5" fillId="0" borderId="2" xfId="0" applyFont="1" applyBorder="1" applyAlignment="1">
      <alignment horizontal="lef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4" fontId="6" fillId="0" borderId="0" xfId="0" applyNumberFormat="1" applyFont="1" applyBorder="1" applyAlignment="1">
      <alignment horizontal="left" vertical="top" wrapText="1"/>
    </xf>
    <xf numFmtId="4" fontId="0" fillId="0" borderId="0" xfId="0" applyNumberFormat="1"/>
    <xf numFmtId="4" fontId="0" fillId="5" borderId="0" xfId="0" applyNumberFormat="1" applyFill="1"/>
    <xf numFmtId="4" fontId="0" fillId="0" borderId="2" xfId="0" applyNumberFormat="1" applyBorder="1"/>
    <xf numFmtId="4" fontId="0" fillId="5" borderId="2" xfId="0" applyNumberFormat="1" applyFill="1" applyBorder="1"/>
    <xf numFmtId="4" fontId="5" fillId="0" borderId="0" xfId="0" applyNumberFormat="1" applyFont="1" applyBorder="1" applyAlignment="1">
      <alignment horizontal="left" vertical="top" wrapText="1"/>
    </xf>
    <xf numFmtId="4" fontId="4" fillId="0" borderId="0" xfId="0" applyNumberFormat="1" applyFont="1" applyBorder="1" applyAlignment="1">
      <alignment horizontal="left" vertical="top" wrapText="1"/>
    </xf>
    <xf numFmtId="4" fontId="4" fillId="0" borderId="2" xfId="0" applyNumberFormat="1" applyFont="1" applyBorder="1" applyAlignment="1">
      <alignment horizontal="left" vertical="top" wrapText="1"/>
    </xf>
    <xf numFmtId="4" fontId="0" fillId="0" borderId="0" xfId="0" applyNumberFormat="1" applyBorder="1"/>
    <xf numFmtId="4" fontId="5" fillId="0" borderId="2" xfId="0" applyNumberFormat="1"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0"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0" fillId="2" borderId="0" xfId="0" applyNumberFormat="1" applyFill="1" applyBorder="1"/>
    <xf numFmtId="0" fontId="0" fillId="5" borderId="0" xfId="0" applyFill="1" applyBorder="1"/>
    <xf numFmtId="0" fontId="2" fillId="0" borderId="2" xfId="0" applyNumberFormat="1" applyFont="1" applyBorder="1" applyAlignment="1">
      <alignment horizontal="left" vertical="top" wrapText="1"/>
    </xf>
    <xf numFmtId="2" fontId="2" fillId="0" borderId="2" xfId="0" applyNumberFormat="1" applyFont="1" applyBorder="1" applyAlignment="1">
      <alignment horizontal="left" vertical="top" wrapText="1"/>
    </xf>
    <xf numFmtId="0" fontId="1" fillId="0" borderId="0"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Fill="1" applyBorder="1" applyAlignment="1">
      <alignment horizontal="left" vertical="top" wrapText="1"/>
    </xf>
    <xf numFmtId="0" fontId="0" fillId="0" borderId="0" xfId="0" applyFont="1"/>
    <xf numFmtId="0" fontId="10" fillId="0" borderId="0" xfId="0" applyFont="1" applyAlignment="1">
      <alignment horizontal="center" vertical="center"/>
    </xf>
    <xf numFmtId="0" fontId="12" fillId="0" borderId="0" xfId="0" applyFont="1" applyBorder="1"/>
    <xf numFmtId="0" fontId="13" fillId="0" borderId="0" xfId="0" applyFont="1"/>
    <xf numFmtId="0" fontId="14" fillId="0" borderId="0" xfId="0" applyFont="1" applyAlignment="1">
      <alignment horizontal="center"/>
    </xf>
    <xf numFmtId="0" fontId="14" fillId="0" borderId="0" xfId="0" applyFont="1"/>
    <xf numFmtId="0" fontId="15" fillId="0" borderId="0" xfId="0" applyFont="1" applyAlignment="1">
      <alignment horizontal="center"/>
    </xf>
    <xf numFmtId="0" fontId="14" fillId="0" borderId="0" xfId="0" applyFont="1" applyFill="1"/>
    <xf numFmtId="49" fontId="0" fillId="0" borderId="0" xfId="0" applyNumberFormat="1" applyAlignment="1">
      <alignment horizontal="center" vertical="center"/>
    </xf>
    <xf numFmtId="49" fontId="0" fillId="0" borderId="0" xfId="0" applyNumberFormat="1"/>
    <xf numFmtId="0" fontId="19" fillId="0" borderId="0" xfId="0" applyFont="1"/>
    <xf numFmtId="0" fontId="20" fillId="6" borderId="0" xfId="0" applyFont="1" applyFill="1" applyAlignment="1">
      <alignment horizontal="left" vertical="center" wrapText="1"/>
    </xf>
    <xf numFmtId="0" fontId="21" fillId="0" borderId="0" xfId="0" applyFont="1"/>
    <xf numFmtId="0" fontId="23" fillId="0" borderId="0" xfId="0" applyFont="1"/>
    <xf numFmtId="0" fontId="23" fillId="0" borderId="0" xfId="0" applyFont="1" applyFill="1"/>
    <xf numFmtId="4" fontId="23" fillId="0" borderId="0" xfId="0" applyNumberFormat="1" applyFont="1" applyFill="1" applyBorder="1" applyAlignment="1">
      <alignment horizontal="center"/>
    </xf>
    <xf numFmtId="0" fontId="21" fillId="0" borderId="0" xfId="0" applyFont="1" applyAlignment="1">
      <alignment horizontal="center" vertical="center"/>
    </xf>
    <xf numFmtId="0" fontId="23" fillId="0" borderId="0" xfId="0" applyFont="1" applyAlignment="1">
      <alignment horizontal="center"/>
    </xf>
    <xf numFmtId="0" fontId="28" fillId="0" borderId="11" xfId="0" applyFont="1" applyBorder="1" applyAlignment="1">
      <alignment horizontal="center" vertical="center" wrapText="1"/>
    </xf>
    <xf numFmtId="0" fontId="28" fillId="0" borderId="12" xfId="0" applyFont="1" applyBorder="1" applyAlignment="1">
      <alignment horizontal="center" vertical="center"/>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3" fillId="0" borderId="14" xfId="0" applyFont="1" applyBorder="1" applyAlignment="1">
      <alignment horizontal="center"/>
    </xf>
    <xf numFmtId="0" fontId="23" fillId="0" borderId="15" xfId="0" applyFont="1" applyBorder="1" applyAlignment="1">
      <alignment wrapText="1"/>
    </xf>
    <xf numFmtId="0" fontId="23" fillId="0" borderId="15" xfId="0" applyFont="1" applyBorder="1" applyAlignment="1">
      <alignment horizontal="center"/>
    </xf>
    <xf numFmtId="4" fontId="23" fillId="0" borderId="15" xfId="0" applyNumberFormat="1" applyFont="1" applyBorder="1" applyAlignment="1">
      <alignment horizontal="center"/>
    </xf>
    <xf numFmtId="4" fontId="23" fillId="0" borderId="16" xfId="0" applyNumberFormat="1" applyFont="1" applyBorder="1" applyAlignment="1">
      <alignment horizontal="center"/>
    </xf>
    <xf numFmtId="0" fontId="23" fillId="0" borderId="17" xfId="0" applyFont="1" applyBorder="1" applyAlignment="1">
      <alignment horizontal="center"/>
    </xf>
    <xf numFmtId="0" fontId="27" fillId="0" borderId="18" xfId="0" applyFont="1" applyBorder="1" applyAlignment="1">
      <alignment wrapText="1"/>
    </xf>
    <xf numFmtId="0" fontId="23" fillId="0" borderId="18" xfId="0" applyFont="1" applyBorder="1" applyAlignment="1">
      <alignment horizontal="center"/>
    </xf>
    <xf numFmtId="4" fontId="23" fillId="0" borderId="18" xfId="0" applyNumberFormat="1" applyFont="1" applyBorder="1" applyAlignment="1">
      <alignment horizontal="center"/>
    </xf>
    <xf numFmtId="4" fontId="23" fillId="0" borderId="19" xfId="0" applyNumberFormat="1" applyFont="1" applyBorder="1" applyAlignment="1">
      <alignment horizontal="center"/>
    </xf>
    <xf numFmtId="0" fontId="23" fillId="0" borderId="20" xfId="0" applyFont="1" applyBorder="1" applyAlignment="1">
      <alignment horizontal="center"/>
    </xf>
    <xf numFmtId="0" fontId="23" fillId="0" borderId="21" xfId="0" applyFont="1" applyBorder="1" applyAlignment="1">
      <alignment wrapText="1"/>
    </xf>
    <xf numFmtId="0" fontId="23" fillId="0" borderId="21" xfId="0" applyFont="1" applyBorder="1" applyAlignment="1">
      <alignment horizontal="center"/>
    </xf>
    <xf numFmtId="0" fontId="23" fillId="3" borderId="20" xfId="0" applyFont="1" applyFill="1" applyBorder="1" applyAlignment="1">
      <alignment horizontal="center"/>
    </xf>
    <xf numFmtId="0" fontId="23" fillId="3" borderId="21" xfId="0" applyFont="1" applyFill="1" applyBorder="1" applyAlignment="1">
      <alignment horizontal="left" wrapText="1"/>
    </xf>
    <xf numFmtId="0" fontId="23" fillId="3" borderId="21" xfId="0" applyFont="1" applyFill="1" applyBorder="1" applyAlignment="1">
      <alignment horizontal="center"/>
    </xf>
    <xf numFmtId="4" fontId="23" fillId="3" borderId="18" xfId="0" applyNumberFormat="1" applyFont="1" applyFill="1" applyBorder="1" applyAlignment="1">
      <alignment horizontal="center"/>
    </xf>
    <xf numFmtId="4" fontId="23" fillId="3" borderId="19" xfId="0" applyNumberFormat="1" applyFont="1" applyFill="1" applyBorder="1" applyAlignment="1">
      <alignment horizontal="center"/>
    </xf>
    <xf numFmtId="0" fontId="23" fillId="0" borderId="21" xfId="0" applyFont="1" applyFill="1" applyBorder="1" applyAlignment="1">
      <alignment horizontal="left" wrapText="1"/>
    </xf>
    <xf numFmtId="4" fontId="23" fillId="0" borderId="18" xfId="0" applyNumberFormat="1" applyFont="1" applyFill="1" applyBorder="1" applyAlignment="1">
      <alignment horizontal="center"/>
    </xf>
    <xf numFmtId="0" fontId="21" fillId="0" borderId="21" xfId="0" applyFont="1" applyFill="1" applyBorder="1" applyAlignment="1">
      <alignment horizontal="left" wrapText="1"/>
    </xf>
    <xf numFmtId="0" fontId="23" fillId="3" borderId="21" xfId="0" applyFont="1" applyFill="1" applyBorder="1" applyAlignment="1">
      <alignment wrapText="1"/>
    </xf>
    <xf numFmtId="0" fontId="23" fillId="0" borderId="22" xfId="0" applyFont="1" applyBorder="1" applyAlignment="1">
      <alignment horizontal="center"/>
    </xf>
    <xf numFmtId="0" fontId="23" fillId="0" borderId="23" xfId="0" applyFont="1" applyBorder="1" applyAlignment="1">
      <alignment wrapText="1"/>
    </xf>
    <xf numFmtId="0" fontId="23" fillId="0" borderId="23" xfId="0" applyFont="1" applyBorder="1" applyAlignment="1">
      <alignment horizontal="center"/>
    </xf>
    <xf numFmtId="0" fontId="23" fillId="0" borderId="21" xfId="0" applyFont="1" applyFill="1" applyBorder="1" applyAlignment="1">
      <alignment horizontal="center"/>
    </xf>
    <xf numFmtId="0" fontId="23" fillId="0" borderId="24" xfId="0" applyFont="1" applyBorder="1" applyAlignment="1">
      <alignment horizontal="center"/>
    </xf>
    <xf numFmtId="0" fontId="23" fillId="0" borderId="25" xfId="0" applyFont="1" applyBorder="1" applyAlignment="1">
      <alignment wrapText="1"/>
    </xf>
    <xf numFmtId="0" fontId="23" fillId="0" borderId="25" xfId="0" applyFont="1" applyBorder="1" applyAlignment="1">
      <alignment horizontal="center"/>
    </xf>
    <xf numFmtId="0" fontId="23" fillId="0" borderId="26" xfId="0" applyFont="1" applyBorder="1" applyAlignment="1">
      <alignment horizontal="center"/>
    </xf>
    <xf numFmtId="4" fontId="23" fillId="0" borderId="25" xfId="0" applyNumberFormat="1" applyFont="1" applyBorder="1" applyAlignment="1">
      <alignment horizontal="center"/>
    </xf>
    <xf numFmtId="4" fontId="23" fillId="0" borderId="27" xfId="0" applyNumberFormat="1" applyFont="1" applyBorder="1" applyAlignment="1">
      <alignment horizontal="center"/>
    </xf>
    <xf numFmtId="0" fontId="23" fillId="0" borderId="0" xfId="0" applyFont="1" applyAlignment="1">
      <alignment wrapText="1"/>
    </xf>
    <xf numFmtId="4" fontId="27" fillId="0" borderId="28" xfId="0" applyNumberFormat="1" applyFont="1" applyBorder="1" applyAlignment="1">
      <alignment horizontal="right"/>
    </xf>
    <xf numFmtId="4" fontId="27" fillId="0" borderId="29" xfId="0" applyNumberFormat="1" applyFont="1" applyBorder="1" applyAlignment="1">
      <alignment horizontal="center"/>
    </xf>
    <xf numFmtId="4" fontId="27" fillId="0" borderId="0" xfId="0" applyNumberFormat="1" applyFont="1" applyBorder="1" applyAlignment="1">
      <alignment horizontal="right"/>
    </xf>
    <xf numFmtId="4" fontId="27" fillId="0" borderId="0" xfId="0" applyNumberFormat="1" applyFont="1" applyBorder="1" applyAlignment="1">
      <alignment horizontal="center"/>
    </xf>
    <xf numFmtId="0" fontId="29" fillId="0" borderId="0" xfId="0" applyFont="1" applyAlignment="1">
      <alignment horizontal="center"/>
    </xf>
    <xf numFmtId="0" fontId="23" fillId="0" borderId="0" xfId="0" applyFont="1" applyBorder="1" applyAlignment="1">
      <alignment horizontal="center"/>
    </xf>
    <xf numFmtId="49" fontId="21" fillId="0" borderId="0" xfId="0" applyNumberFormat="1" applyFont="1"/>
    <xf numFmtId="49" fontId="21" fillId="0" borderId="0" xfId="0" applyNumberFormat="1" applyFont="1" applyAlignment="1">
      <alignment horizontal="center" vertical="center" wrapText="1"/>
    </xf>
    <xf numFmtId="0" fontId="21" fillId="0" borderId="2" xfId="0" applyFont="1" applyBorder="1"/>
    <xf numFmtId="4" fontId="21" fillId="0" borderId="2" xfId="0" applyNumberFormat="1" applyFont="1" applyBorder="1" applyAlignment="1">
      <alignment horizontal="right"/>
    </xf>
    <xf numFmtId="49" fontId="21" fillId="0" borderId="0" xfId="0" applyNumberFormat="1" applyFont="1" applyAlignment="1">
      <alignment horizontal="center" vertical="center"/>
    </xf>
    <xf numFmtId="4" fontId="21" fillId="0" borderId="2" xfId="0" applyNumberFormat="1" applyFont="1" applyBorder="1"/>
    <xf numFmtId="0" fontId="21" fillId="0" borderId="0" xfId="0" applyFont="1" applyAlignment="1">
      <alignment horizontal="left" vertical="center"/>
    </xf>
    <xf numFmtId="0" fontId="21" fillId="0" borderId="9" xfId="0" applyFont="1" applyBorder="1"/>
    <xf numFmtId="4" fontId="21" fillId="0" borderId="9" xfId="0" applyNumberFormat="1" applyFont="1" applyBorder="1"/>
    <xf numFmtId="0" fontId="21" fillId="0" borderId="71" xfId="0" applyFont="1" applyBorder="1"/>
    <xf numFmtId="4" fontId="21" fillId="0" borderId="71" xfId="0" applyNumberFormat="1" applyFont="1" applyBorder="1"/>
    <xf numFmtId="0" fontId="24" fillId="0" borderId="0" xfId="0" applyFont="1" applyAlignment="1">
      <alignment horizontal="center"/>
    </xf>
    <xf numFmtId="4" fontId="24" fillId="0" borderId="0" xfId="0" applyNumberFormat="1" applyFont="1"/>
    <xf numFmtId="4" fontId="21" fillId="0" borderId="0" xfId="0" applyNumberFormat="1" applyFont="1"/>
    <xf numFmtId="0" fontId="27" fillId="0" borderId="37" xfId="3" applyFont="1" applyBorder="1" applyAlignment="1">
      <alignment horizontal="center" vertical="center" wrapText="1"/>
    </xf>
    <xf numFmtId="0" fontId="27" fillId="0" borderId="38" xfId="3" applyNumberFormat="1" applyFont="1" applyBorder="1" applyAlignment="1">
      <alignment horizontal="center" vertical="center" wrapText="1"/>
    </xf>
    <xf numFmtId="0" fontId="27" fillId="0" borderId="38" xfId="3" applyFont="1" applyBorder="1" applyAlignment="1">
      <alignment horizontal="center" vertical="center" wrapText="1"/>
    </xf>
    <xf numFmtId="4" fontId="27" fillId="8" borderId="39" xfId="3" applyNumberFormat="1" applyFont="1" applyFill="1" applyBorder="1" applyAlignment="1">
      <alignment horizontal="center" vertical="center" wrapText="1"/>
    </xf>
    <xf numFmtId="0" fontId="28" fillId="9" borderId="40" xfId="3" applyFont="1" applyFill="1" applyBorder="1" applyAlignment="1">
      <alignment horizontal="center" vertical="center" wrapText="1"/>
    </xf>
    <xf numFmtId="0" fontId="28" fillId="9" borderId="31" xfId="3" applyNumberFormat="1" applyFont="1" applyFill="1" applyBorder="1" applyAlignment="1">
      <alignment horizontal="center" vertical="center" wrapText="1"/>
    </xf>
    <xf numFmtId="0" fontId="28" fillId="9" borderId="31" xfId="3" applyFont="1" applyFill="1" applyBorder="1" applyAlignment="1">
      <alignment horizontal="center" vertical="center" wrapText="1"/>
    </xf>
    <xf numFmtId="0" fontId="28" fillId="8" borderId="41" xfId="3" applyFont="1" applyFill="1" applyBorder="1" applyAlignment="1">
      <alignment horizontal="center" vertical="center" wrapText="1"/>
    </xf>
    <xf numFmtId="0" fontId="29" fillId="9" borderId="40" xfId="3" applyFont="1" applyFill="1" applyBorder="1" applyAlignment="1">
      <alignment horizontal="center" vertical="center" wrapText="1"/>
    </xf>
    <xf numFmtId="0" fontId="27" fillId="9" borderId="31" xfId="3" applyNumberFormat="1" applyFont="1" applyFill="1" applyBorder="1" applyAlignment="1">
      <alignment horizontal="center" vertical="center" wrapText="1"/>
    </xf>
    <xf numFmtId="0" fontId="29" fillId="9" borderId="31" xfId="3" applyFont="1" applyFill="1" applyBorder="1" applyAlignment="1">
      <alignment horizontal="center" vertical="center" wrapText="1"/>
    </xf>
    <xf numFmtId="0" fontId="29" fillId="9" borderId="31" xfId="3" applyNumberFormat="1" applyFont="1" applyFill="1" applyBorder="1" applyAlignment="1">
      <alignment horizontal="center" vertical="center" wrapText="1"/>
    </xf>
    <xf numFmtId="0" fontId="23" fillId="0" borderId="42" xfId="3" quotePrefix="1" applyFont="1" applyBorder="1" applyAlignment="1">
      <alignment horizontal="center" vertical="center" wrapText="1"/>
    </xf>
    <xf numFmtId="0" fontId="23" fillId="0" borderId="31" xfId="0" applyFont="1" applyBorder="1" applyAlignment="1">
      <alignment horizontal="left" vertical="center" wrapText="1"/>
    </xf>
    <xf numFmtId="0" fontId="23" fillId="0" borderId="34" xfId="3" applyFont="1" applyBorder="1" applyAlignment="1">
      <alignment horizontal="center" vertical="center" wrapText="1"/>
    </xf>
    <xf numFmtId="0" fontId="23" fillId="0" borderId="34" xfId="3" applyNumberFormat="1" applyFont="1" applyBorder="1" applyAlignment="1">
      <alignment horizontal="center" vertical="center" wrapText="1"/>
    </xf>
    <xf numFmtId="4" fontId="23" fillId="10" borderId="34" xfId="3" applyNumberFormat="1" applyFont="1" applyFill="1" applyBorder="1" applyAlignment="1">
      <alignment horizontal="center" vertical="center" wrapText="1"/>
    </xf>
    <xf numFmtId="0" fontId="23" fillId="0" borderId="40" xfId="3" quotePrefix="1" applyFont="1" applyBorder="1" applyAlignment="1">
      <alignment horizontal="center" vertical="center" wrapText="1"/>
    </xf>
    <xf numFmtId="0" fontId="23" fillId="0" borderId="31" xfId="0" applyFont="1" applyBorder="1" applyAlignment="1">
      <alignment vertical="center" wrapText="1"/>
    </xf>
    <xf numFmtId="0" fontId="23" fillId="0" borderId="31" xfId="3" applyFont="1" applyBorder="1" applyAlignment="1">
      <alignment horizontal="center" vertical="center" wrapText="1"/>
    </xf>
    <xf numFmtId="0" fontId="23" fillId="0" borderId="31" xfId="3" applyNumberFormat="1" applyFont="1" applyBorder="1" applyAlignment="1">
      <alignment horizontal="center" vertical="center" wrapText="1"/>
    </xf>
    <xf numFmtId="4" fontId="23" fillId="10" borderId="31" xfId="3" applyNumberFormat="1" applyFont="1" applyFill="1" applyBorder="1" applyAlignment="1">
      <alignment horizontal="right" vertical="center" wrapText="1"/>
    </xf>
    <xf numFmtId="0" fontId="23" fillId="10" borderId="31" xfId="3" applyNumberFormat="1" applyFont="1" applyFill="1" applyBorder="1" applyAlignment="1">
      <alignment horizontal="right" vertical="center" wrapText="1"/>
    </xf>
    <xf numFmtId="0" fontId="25" fillId="0" borderId="31" xfId="3" applyFont="1" applyBorder="1" applyAlignment="1">
      <alignment horizontal="center" vertical="center" wrapText="1"/>
    </xf>
    <xf numFmtId="0" fontId="25" fillId="0" borderId="31" xfId="3" applyNumberFormat="1" applyFont="1" applyBorder="1" applyAlignment="1">
      <alignment horizontal="center" vertical="center" wrapText="1"/>
    </xf>
    <xf numFmtId="169" fontId="27" fillId="9" borderId="41" xfId="3" applyNumberFormat="1" applyFont="1" applyFill="1" applyBorder="1" applyAlignment="1">
      <alignment horizontal="right" vertical="center" wrapText="1"/>
    </xf>
    <xf numFmtId="169" fontId="27" fillId="0" borderId="41" xfId="3" applyNumberFormat="1" applyFont="1" applyFill="1" applyBorder="1" applyAlignment="1">
      <alignment horizontal="right" vertical="center"/>
    </xf>
    <xf numFmtId="169" fontId="27" fillId="8" borderId="48" xfId="3" applyNumberFormat="1" applyFont="1" applyFill="1" applyBorder="1" applyAlignment="1">
      <alignment horizontal="right" vertical="center"/>
    </xf>
    <xf numFmtId="0" fontId="27" fillId="0" borderId="0" xfId="0" applyFont="1" applyFill="1" applyBorder="1" applyAlignment="1">
      <alignment horizontal="center" vertical="center"/>
    </xf>
    <xf numFmtId="0" fontId="23" fillId="0" borderId="10" xfId="0" applyNumberFormat="1" applyFont="1" applyFill="1" applyBorder="1" applyAlignment="1">
      <alignment vertical="top" wrapText="1"/>
    </xf>
    <xf numFmtId="0" fontId="27" fillId="0" borderId="10" xfId="0" applyFont="1" applyFill="1" applyBorder="1" applyAlignment="1">
      <alignment horizontal="center"/>
    </xf>
    <xf numFmtId="1" fontId="23" fillId="0" borderId="51" xfId="0" applyNumberFormat="1" applyFont="1" applyFill="1" applyBorder="1" applyAlignment="1" applyProtection="1">
      <alignment horizontal="center" vertical="center"/>
      <protection locked="0"/>
    </xf>
    <xf numFmtId="0" fontId="27" fillId="0" borderId="52" xfId="0" applyNumberFormat="1" applyFont="1" applyFill="1" applyBorder="1" applyAlignment="1">
      <alignment horizontal="center" vertical="center" wrapText="1"/>
    </xf>
    <xf numFmtId="1" fontId="23" fillId="0" borderId="54" xfId="0" applyNumberFormat="1" applyFont="1" applyFill="1" applyBorder="1" applyAlignment="1" applyProtection="1">
      <alignment horizontal="center" vertical="center"/>
      <protection locked="0"/>
    </xf>
    <xf numFmtId="0" fontId="23" fillId="0" borderId="36" xfId="0" applyNumberFormat="1" applyFont="1" applyFill="1" applyBorder="1" applyAlignment="1">
      <alignment wrapText="1"/>
    </xf>
    <xf numFmtId="0" fontId="27" fillId="0" borderId="55" xfId="0" applyFont="1" applyFill="1" applyBorder="1" applyAlignment="1">
      <alignment horizontal="center" wrapText="1"/>
    </xf>
    <xf numFmtId="0" fontId="27" fillId="0" borderId="56" xfId="0" applyFont="1" applyFill="1" applyBorder="1" applyAlignment="1">
      <alignment horizontal="center" wrapText="1"/>
    </xf>
    <xf numFmtId="0" fontId="27" fillId="7" borderId="9" xfId="0" applyNumberFormat="1" applyFont="1" applyFill="1" applyBorder="1" applyAlignment="1">
      <alignment horizontal="center" vertical="center" wrapText="1"/>
    </xf>
    <xf numFmtId="4" fontId="23" fillId="0" borderId="31" xfId="7" applyNumberFormat="1" applyFont="1" applyFill="1" applyBorder="1" applyAlignment="1">
      <alignment horizontal="center"/>
    </xf>
    <xf numFmtId="1" fontId="23" fillId="0" borderId="31" xfId="7" applyNumberFormat="1" applyFont="1" applyFill="1" applyBorder="1" applyAlignment="1">
      <alignment horizontal="center"/>
    </xf>
    <xf numFmtId="0" fontId="23" fillId="0" borderId="31" xfId="0" applyFont="1" applyBorder="1" applyAlignment="1"/>
    <xf numFmtId="2" fontId="23" fillId="0" borderId="31" xfId="0" applyNumberFormat="1" applyFont="1" applyBorder="1" applyAlignment="1">
      <alignment horizontal="center"/>
    </xf>
    <xf numFmtId="4" fontId="23" fillId="0" borderId="31" xfId="7" applyNumberFormat="1" applyFont="1" applyFill="1" applyBorder="1" applyAlignment="1">
      <alignment horizontal="left" vertical="top" wrapText="1"/>
    </xf>
    <xf numFmtId="49" fontId="23" fillId="0" borderId="62" xfId="7" applyNumberFormat="1" applyFont="1" applyFill="1" applyBorder="1" applyAlignment="1">
      <alignment horizontal="justify" vertical="top" wrapText="1"/>
    </xf>
    <xf numFmtId="1" fontId="23" fillId="7" borderId="55" xfId="0" applyNumberFormat="1" applyFont="1" applyFill="1" applyBorder="1" applyAlignment="1" applyProtection="1">
      <alignment horizontal="center" vertical="center"/>
      <protection locked="0"/>
    </xf>
    <xf numFmtId="0" fontId="27" fillId="7" borderId="2" xfId="0" applyNumberFormat="1" applyFont="1" applyFill="1" applyBorder="1" applyAlignment="1">
      <alignment horizontal="justify" vertical="top" wrapText="1"/>
    </xf>
    <xf numFmtId="0" fontId="27" fillId="7" borderId="2" xfId="0" applyFont="1" applyFill="1" applyBorder="1" applyAlignment="1">
      <alignment horizontal="center" wrapText="1"/>
    </xf>
    <xf numFmtId="1" fontId="23" fillId="7" borderId="33" xfId="0" applyNumberFormat="1" applyFont="1" applyFill="1" applyBorder="1" applyAlignment="1" applyProtection="1">
      <alignment horizontal="center" vertical="center"/>
      <protection locked="0"/>
    </xf>
    <xf numFmtId="0" fontId="27" fillId="7" borderId="9" xfId="0" applyNumberFormat="1" applyFont="1" applyFill="1" applyBorder="1" applyAlignment="1">
      <alignment horizontal="justify" vertical="top" wrapText="1"/>
    </xf>
    <xf numFmtId="0" fontId="27" fillId="7" borderId="9" xfId="0" applyFont="1" applyFill="1" applyBorder="1" applyAlignment="1">
      <alignment horizontal="center" wrapText="1"/>
    </xf>
    <xf numFmtId="1" fontId="23" fillId="0" borderId="63" xfId="0" applyNumberFormat="1" applyFont="1" applyFill="1" applyBorder="1" applyAlignment="1" applyProtection="1">
      <alignment horizontal="center" vertical="center"/>
      <protection locked="0"/>
    </xf>
    <xf numFmtId="0" fontId="27" fillId="0" borderId="64" xfId="0" applyNumberFormat="1" applyFont="1" applyFill="1" applyBorder="1" applyAlignment="1">
      <alignment horizontal="justify" vertical="top" wrapText="1"/>
    </xf>
    <xf numFmtId="0" fontId="27" fillId="0" borderId="64" xfId="0" applyFont="1" applyFill="1" applyBorder="1" applyAlignment="1">
      <alignment horizontal="center" wrapText="1"/>
    </xf>
    <xf numFmtId="0" fontId="23" fillId="0" borderId="67" xfId="0" applyNumberFormat="1" applyFont="1" applyFill="1" applyBorder="1" applyAlignment="1">
      <alignment horizontal="justify" vertical="top" wrapText="1"/>
    </xf>
    <xf numFmtId="0" fontId="23" fillId="0" borderId="67" xfId="0" applyFont="1" applyFill="1" applyBorder="1" applyAlignment="1">
      <alignment horizontal="center" wrapText="1"/>
    </xf>
    <xf numFmtId="0" fontId="23" fillId="0" borderId="9" xfId="0" applyNumberFormat="1" applyFont="1" applyFill="1" applyBorder="1" applyAlignment="1">
      <alignment horizontal="justify" vertical="top" wrapText="1"/>
    </xf>
    <xf numFmtId="0" fontId="23" fillId="0" borderId="9" xfId="0" applyFont="1" applyFill="1" applyBorder="1" applyAlignment="1">
      <alignment horizontal="center" wrapText="1"/>
    </xf>
    <xf numFmtId="0" fontId="23" fillId="7" borderId="9" xfId="0" applyNumberFormat="1" applyFont="1" applyFill="1" applyBorder="1" applyAlignment="1">
      <alignment horizontal="justify" vertical="top" wrapText="1"/>
    </xf>
    <xf numFmtId="0" fontId="23" fillId="7" borderId="9" xfId="0" applyFont="1" applyFill="1" applyBorder="1" applyAlignment="1">
      <alignment horizontal="center" wrapText="1"/>
    </xf>
    <xf numFmtId="0" fontId="23" fillId="0" borderId="64" xfId="0" applyNumberFormat="1" applyFont="1" applyFill="1" applyBorder="1" applyAlignment="1">
      <alignment horizontal="left" vertical="top" wrapText="1"/>
    </xf>
    <xf numFmtId="0" fontId="23" fillId="0" borderId="64" xfId="0" applyFont="1" applyFill="1" applyBorder="1" applyAlignment="1">
      <alignment horizontal="center"/>
    </xf>
    <xf numFmtId="1" fontId="23" fillId="0" borderId="65" xfId="0" applyNumberFormat="1" applyFont="1" applyFill="1" applyBorder="1" applyAlignment="1" applyProtection="1">
      <alignment horizontal="center" vertical="center"/>
      <protection locked="0"/>
    </xf>
    <xf numFmtId="1" fontId="23" fillId="0" borderId="53" xfId="0" applyNumberFormat="1" applyFont="1" applyFill="1" applyBorder="1" applyAlignment="1" applyProtection="1">
      <alignment horizontal="center" vertical="center"/>
      <protection locked="0"/>
    </xf>
    <xf numFmtId="0" fontId="23" fillId="0" borderId="67" xfId="7" applyFont="1" applyFill="1" applyBorder="1" applyAlignment="1">
      <alignment vertical="top" wrapText="1"/>
    </xf>
    <xf numFmtId="0" fontId="23" fillId="0" borderId="67" xfId="0" applyFont="1" applyFill="1" applyBorder="1" applyAlignment="1">
      <alignment horizontal="center"/>
    </xf>
    <xf numFmtId="0" fontId="23" fillId="7" borderId="9" xfId="0" applyNumberFormat="1" applyFont="1" applyFill="1" applyBorder="1" applyAlignment="1">
      <alignment horizontal="left" vertical="top" wrapText="1"/>
    </xf>
    <xf numFmtId="0" fontId="23" fillId="7" borderId="9" xfId="0" applyFont="1" applyFill="1" applyBorder="1" applyAlignment="1">
      <alignment horizontal="center"/>
    </xf>
    <xf numFmtId="0" fontId="23" fillId="0" borderId="67" xfId="0" applyNumberFormat="1" applyFont="1" applyFill="1" applyBorder="1" applyAlignment="1">
      <alignment horizontal="left" vertical="top" wrapText="1"/>
    </xf>
    <xf numFmtId="0" fontId="23" fillId="7" borderId="2" xfId="0" applyNumberFormat="1" applyFont="1" applyFill="1" applyBorder="1" applyAlignment="1">
      <alignment horizontal="left" vertical="top" wrapText="1"/>
    </xf>
    <xf numFmtId="0" fontId="23" fillId="7" borderId="2" xfId="0" applyFont="1" applyFill="1" applyBorder="1" applyAlignment="1">
      <alignment horizontal="center"/>
    </xf>
    <xf numFmtId="1" fontId="23" fillId="0" borderId="68" xfId="0" applyNumberFormat="1" applyFont="1" applyFill="1" applyBorder="1" applyAlignment="1" applyProtection="1">
      <alignment horizontal="center" vertical="center"/>
      <protection locked="0"/>
    </xf>
    <xf numFmtId="0" fontId="23" fillId="0" borderId="0" xfId="0" applyNumberFormat="1" applyFont="1" applyFill="1" applyBorder="1" applyAlignment="1">
      <alignment horizontal="left" vertical="top" wrapText="1"/>
    </xf>
    <xf numFmtId="0" fontId="23" fillId="0" borderId="0" xfId="0" applyFont="1" applyFill="1" applyBorder="1" applyAlignment="1">
      <alignment horizontal="center"/>
    </xf>
    <xf numFmtId="0" fontId="23" fillId="0" borderId="64" xfId="0" applyFont="1" applyFill="1" applyBorder="1" applyAlignment="1">
      <alignment horizontal="left" vertical="top" wrapText="1"/>
    </xf>
    <xf numFmtId="0" fontId="23" fillId="0" borderId="67" xfId="0" applyFont="1" applyFill="1" applyBorder="1" applyAlignment="1">
      <alignment horizontal="left" vertical="top" wrapText="1"/>
    </xf>
    <xf numFmtId="1" fontId="23" fillId="7" borderId="31" xfId="0" applyNumberFormat="1" applyFont="1" applyFill="1" applyBorder="1" applyAlignment="1" applyProtection="1">
      <alignment horizontal="center" vertical="center"/>
      <protection locked="0"/>
    </xf>
    <xf numFmtId="0" fontId="23" fillId="7" borderId="9" xfId="0" applyNumberFormat="1" applyFont="1" applyFill="1" applyBorder="1" applyAlignment="1">
      <alignment horizontal="center" vertical="top" wrapText="1"/>
    </xf>
    <xf numFmtId="0" fontId="23" fillId="0" borderId="0" xfId="0" applyNumberFormat="1" applyFont="1" applyFill="1" applyBorder="1" applyAlignment="1">
      <alignment vertical="top" wrapText="1"/>
    </xf>
    <xf numFmtId="0" fontId="23" fillId="0" borderId="64" xfId="0" applyFont="1" applyFill="1" applyBorder="1" applyAlignment="1">
      <alignment horizontal="center" vertical="top" wrapText="1"/>
    </xf>
    <xf numFmtId="0" fontId="23" fillId="0" borderId="67" xfId="0" applyFont="1" applyFill="1" applyBorder="1" applyAlignment="1">
      <alignment horizontal="center" vertical="top" wrapText="1"/>
    </xf>
    <xf numFmtId="0" fontId="23" fillId="7" borderId="70" xfId="0" applyNumberFormat="1" applyFont="1" applyFill="1" applyBorder="1" applyAlignment="1">
      <alignment horizontal="left" vertical="top" wrapText="1"/>
    </xf>
    <xf numFmtId="0" fontId="23" fillId="0" borderId="63" xfId="0" applyFont="1" applyFill="1" applyBorder="1" applyAlignment="1">
      <alignment horizontal="left" vertical="top" wrapText="1"/>
    </xf>
    <xf numFmtId="0" fontId="23" fillId="0" borderId="65" xfId="0" applyFont="1" applyFill="1" applyBorder="1" applyAlignment="1">
      <alignment horizontal="left" vertical="top" wrapText="1"/>
    </xf>
    <xf numFmtId="0" fontId="23" fillId="0" borderId="53" xfId="0" applyFont="1" applyFill="1" applyBorder="1" applyAlignment="1">
      <alignment horizontal="left" vertical="top" wrapText="1"/>
    </xf>
    <xf numFmtId="0" fontId="23" fillId="7" borderId="9" xfId="0" applyNumberFormat="1" applyFont="1" applyFill="1" applyBorder="1" applyAlignment="1">
      <alignment vertical="top" wrapText="1"/>
    </xf>
    <xf numFmtId="1" fontId="23" fillId="0" borderId="0" xfId="0" applyNumberFormat="1" applyFont="1" applyFill="1" applyBorder="1" applyAlignment="1" applyProtection="1">
      <alignment horizontal="center" vertical="center"/>
      <protection locked="0"/>
    </xf>
    <xf numFmtId="0" fontId="27" fillId="0" borderId="0" xfId="0" applyFont="1" applyFill="1" applyBorder="1" applyAlignment="1">
      <alignment horizontal="center"/>
    </xf>
    <xf numFmtId="170" fontId="23" fillId="12" borderId="33" xfId="0" applyNumberFormat="1" applyFont="1" applyFill="1" applyBorder="1" applyAlignment="1" applyProtection="1">
      <alignment horizontal="center" vertical="center"/>
      <protection locked="0"/>
    </xf>
    <xf numFmtId="0" fontId="27" fillId="12" borderId="9" xfId="0" applyNumberFormat="1" applyFont="1" applyFill="1" applyBorder="1" applyAlignment="1">
      <alignment vertical="top" wrapText="1"/>
    </xf>
    <xf numFmtId="0" fontId="27" fillId="12" borderId="9" xfId="0" applyFont="1" applyFill="1" applyBorder="1" applyAlignment="1">
      <alignment horizontal="center"/>
    </xf>
    <xf numFmtId="0" fontId="27" fillId="0" borderId="0" xfId="0" applyNumberFormat="1" applyFont="1" applyFill="1" applyBorder="1" applyAlignment="1">
      <alignment vertical="top" wrapText="1"/>
    </xf>
    <xf numFmtId="170" fontId="23" fillId="0" borderId="31" xfId="0" applyNumberFormat="1" applyFont="1" applyFill="1" applyBorder="1" applyAlignment="1" applyProtection="1">
      <alignment horizontal="center" vertical="center"/>
      <protection locked="0"/>
    </xf>
    <xf numFmtId="0" fontId="27" fillId="0" borderId="33" xfId="0" applyNumberFormat="1" applyFont="1" applyFill="1" applyBorder="1" applyAlignment="1">
      <alignment horizontal="left" vertical="center" wrapText="1"/>
    </xf>
    <xf numFmtId="0" fontId="27" fillId="0" borderId="33" xfId="0" applyFont="1" applyFill="1" applyBorder="1" applyAlignment="1">
      <alignment horizontal="center"/>
    </xf>
    <xf numFmtId="0" fontId="27" fillId="0" borderId="9" xfId="0" applyFont="1" applyFill="1" applyBorder="1" applyAlignment="1">
      <alignment horizontal="center"/>
    </xf>
    <xf numFmtId="0" fontId="27" fillId="0" borderId="55" xfId="0" applyFont="1" applyFill="1" applyBorder="1" applyAlignment="1">
      <alignment horizontal="center"/>
    </xf>
    <xf numFmtId="0" fontId="27" fillId="0" borderId="2" xfId="0" applyFont="1" applyFill="1" applyBorder="1" applyAlignment="1">
      <alignment horizontal="center"/>
    </xf>
    <xf numFmtId="0" fontId="27" fillId="0" borderId="33" xfId="0" applyNumberFormat="1" applyFont="1" applyFill="1" applyBorder="1" applyAlignment="1">
      <alignment horizontal="left" vertical="top" wrapText="1"/>
    </xf>
    <xf numFmtId="0" fontId="27" fillId="0" borderId="9" xfId="0" applyNumberFormat="1" applyFont="1" applyFill="1" applyBorder="1" applyAlignment="1">
      <alignment vertical="top" wrapText="1"/>
    </xf>
    <xf numFmtId="0" fontId="23" fillId="0" borderId="31" xfId="0" applyFont="1" applyFill="1" applyBorder="1" applyAlignment="1">
      <alignment horizontal="left" vertical="top" wrapText="1"/>
    </xf>
    <xf numFmtId="2" fontId="23" fillId="0" borderId="31" xfId="0" applyNumberFormat="1" applyFont="1" applyFill="1" applyBorder="1" applyAlignment="1" applyProtection="1">
      <alignment horizontal="center" vertical="center"/>
      <protection locked="0"/>
    </xf>
    <xf numFmtId="0" fontId="27" fillId="0" borderId="31" xfId="0" applyNumberFormat="1" applyFont="1" applyFill="1" applyBorder="1" applyAlignment="1">
      <alignment vertical="top" wrapText="1"/>
    </xf>
    <xf numFmtId="170" fontId="23" fillId="12" borderId="31" xfId="0" applyNumberFormat="1" applyFont="1" applyFill="1" applyBorder="1" applyAlignment="1" applyProtection="1">
      <alignment horizontal="center" vertical="center"/>
      <protection locked="0"/>
    </xf>
    <xf numFmtId="0" fontId="27" fillId="12" borderId="31" xfId="0" applyNumberFormat="1" applyFont="1" applyFill="1" applyBorder="1" applyAlignment="1">
      <alignment vertical="top" wrapText="1"/>
    </xf>
    <xf numFmtId="170" fontId="23" fillId="12" borderId="0" xfId="0" applyNumberFormat="1" applyFont="1" applyFill="1" applyBorder="1" applyAlignment="1" applyProtection="1">
      <alignment horizontal="center" vertical="center"/>
      <protection locked="0"/>
    </xf>
    <xf numFmtId="0" fontId="27" fillId="12" borderId="0" xfId="0" applyNumberFormat="1" applyFont="1" applyFill="1" applyBorder="1" applyAlignment="1">
      <alignment vertical="top" wrapText="1"/>
    </xf>
    <xf numFmtId="0" fontId="27" fillId="12" borderId="0" xfId="0" applyFont="1" applyFill="1" applyBorder="1" applyAlignment="1">
      <alignment horizontal="center"/>
    </xf>
    <xf numFmtId="0" fontId="27" fillId="0" borderId="0" xfId="0" applyFont="1" applyFill="1" applyAlignment="1">
      <alignment horizontal="center" vertical="center"/>
    </xf>
    <xf numFmtId="0" fontId="27" fillId="0" borderId="63" xfId="0" applyNumberFormat="1" applyFont="1" applyFill="1" applyBorder="1" applyAlignment="1">
      <alignment horizontal="left" vertical="top"/>
    </xf>
    <xf numFmtId="0" fontId="23" fillId="0" borderId="64" xfId="0" applyNumberFormat="1" applyFont="1" applyFill="1" applyBorder="1" applyAlignment="1">
      <alignment horizontal="justify" vertical="top" wrapText="1"/>
    </xf>
    <xf numFmtId="0" fontId="27" fillId="0" borderId="64" xfId="0" applyFont="1" applyFill="1" applyBorder="1" applyAlignment="1">
      <alignment horizontal="center"/>
    </xf>
    <xf numFmtId="0" fontId="27" fillId="0" borderId="65" xfId="0" applyNumberFormat="1" applyFont="1" applyFill="1" applyBorder="1" applyAlignment="1">
      <alignment horizontal="left" vertical="top"/>
    </xf>
    <xf numFmtId="0" fontId="23" fillId="0" borderId="65" xfId="0" applyNumberFormat="1" applyFont="1" applyFill="1" applyBorder="1" applyAlignment="1">
      <alignment horizontal="left" vertical="top"/>
    </xf>
    <xf numFmtId="49" fontId="27" fillId="0" borderId="65" xfId="0" applyNumberFormat="1" applyFont="1" applyFill="1" applyBorder="1" applyAlignment="1">
      <alignment horizontal="left" vertical="top"/>
    </xf>
    <xf numFmtId="49" fontId="27" fillId="0" borderId="53" xfId="0" applyNumberFormat="1" applyFont="1" applyFill="1" applyBorder="1" applyAlignment="1">
      <alignment horizontal="left" vertical="top"/>
    </xf>
    <xf numFmtId="49" fontId="23" fillId="0" borderId="67" xfId="0" applyNumberFormat="1" applyFont="1" applyFill="1" applyBorder="1" applyAlignment="1">
      <alignment vertical="center" wrapText="1"/>
    </xf>
    <xf numFmtId="49" fontId="23" fillId="0" borderId="67" xfId="0" applyNumberFormat="1" applyFont="1" applyBorder="1" applyAlignment="1">
      <alignment horizontal="center" vertical="center"/>
    </xf>
    <xf numFmtId="0" fontId="23" fillId="0" borderId="0" xfId="0" applyFont="1" applyFill="1" applyAlignment="1">
      <alignment horizontal="left"/>
    </xf>
    <xf numFmtId="0" fontId="27" fillId="0" borderId="49"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33" xfId="0" applyFont="1" applyFill="1" applyBorder="1" applyAlignment="1">
      <alignment horizontal="left" vertical="center"/>
    </xf>
    <xf numFmtId="0" fontId="23" fillId="0" borderId="0" xfId="0" applyFont="1" applyFill="1" applyAlignment="1">
      <alignment horizontal="left" vertical="center" indent="12"/>
    </xf>
    <xf numFmtId="0" fontId="23" fillId="0" borderId="0" xfId="0" applyFont="1" applyFill="1" applyAlignment="1">
      <alignment vertical="center"/>
    </xf>
    <xf numFmtId="0" fontId="30" fillId="0" borderId="0" xfId="0" applyFont="1" applyFill="1" applyAlignment="1">
      <alignment horizontal="left" vertical="center" indent="12"/>
    </xf>
    <xf numFmtId="0" fontId="23" fillId="0" borderId="0" xfId="0" applyFont="1" applyBorder="1" applyAlignment="1">
      <alignment horizontal="left" vertical="top" wrapText="1"/>
    </xf>
    <xf numFmtId="2" fontId="34" fillId="0" borderId="0" xfId="0" applyNumberFormat="1" applyFont="1" applyAlignment="1">
      <alignment horizontal="right"/>
    </xf>
    <xf numFmtId="4" fontId="34" fillId="0" borderId="0" xfId="0" applyNumberFormat="1" applyFont="1" applyAlignment="1">
      <alignment horizontal="right"/>
    </xf>
    <xf numFmtId="0" fontId="35" fillId="0" borderId="0" xfId="0" applyFont="1"/>
    <xf numFmtId="0" fontId="34" fillId="0" borderId="0" xfId="11" applyFont="1" applyFill="1" applyBorder="1" applyAlignment="1">
      <alignment horizontal="left" vertical="top"/>
    </xf>
    <xf numFmtId="0" fontId="37" fillId="0" borderId="0" xfId="0" applyFont="1"/>
    <xf numFmtId="0" fontId="35" fillId="0" borderId="0" xfId="0" applyFont="1" applyAlignment="1">
      <alignment vertical="top"/>
    </xf>
    <xf numFmtId="0" fontId="38" fillId="0" borderId="0" xfId="0" applyFont="1"/>
    <xf numFmtId="4" fontId="35" fillId="0" borderId="0" xfId="0" applyNumberFormat="1" applyFont="1" applyAlignment="1">
      <alignment horizontal="right"/>
    </xf>
    <xf numFmtId="0" fontId="34" fillId="0" borderId="0" xfId="0" applyFont="1" applyAlignment="1">
      <alignment horizontal="left" vertical="top" wrapText="1"/>
    </xf>
    <xf numFmtId="49" fontId="34" fillId="0" borderId="0" xfId="0" applyNumberFormat="1" applyFont="1" applyAlignment="1">
      <alignment horizontal="center"/>
    </xf>
    <xf numFmtId="0" fontId="34" fillId="0" borderId="84" xfId="0" applyFont="1" applyBorder="1" applyAlignment="1" applyProtection="1">
      <alignment horizontal="center" vertical="center" wrapText="1"/>
      <protection locked="0"/>
    </xf>
    <xf numFmtId="2" fontId="34" fillId="0" borderId="84" xfId="0" applyNumberFormat="1" applyFont="1" applyBorder="1" applyAlignment="1" applyProtection="1">
      <alignment horizontal="center" vertical="center" wrapText="1"/>
      <protection locked="0"/>
    </xf>
    <xf numFmtId="4" fontId="34" fillId="0" borderId="84" xfId="0" applyNumberFormat="1" applyFont="1" applyBorder="1" applyAlignment="1" applyProtection="1">
      <alignment horizontal="center" vertical="center" wrapText="1"/>
      <protection locked="0"/>
    </xf>
    <xf numFmtId="0" fontId="35" fillId="0" borderId="85" xfId="0" applyFont="1" applyBorder="1"/>
    <xf numFmtId="0" fontId="35" fillId="0" borderId="85" xfId="0" applyFont="1" applyBorder="1" applyAlignment="1">
      <alignment horizontal="justify" vertical="top" wrapText="1"/>
    </xf>
    <xf numFmtId="0" fontId="35" fillId="0" borderId="85" xfId="0" applyFont="1" applyBorder="1" applyAlignment="1">
      <alignment horizontal="center"/>
    </xf>
    <xf numFmtId="0" fontId="39" fillId="0" borderId="85" xfId="0" applyFont="1" applyBorder="1" applyAlignment="1">
      <alignment horizontal="right"/>
    </xf>
    <xf numFmtId="2" fontId="35" fillId="0" borderId="85" xfId="0" applyNumberFormat="1" applyFont="1" applyBorder="1" applyAlignment="1">
      <alignment horizontal="right"/>
    </xf>
    <xf numFmtId="4" fontId="35" fillId="0" borderId="85" xfId="0" applyNumberFormat="1" applyFont="1" applyBorder="1" applyAlignment="1">
      <alignment horizontal="right"/>
    </xf>
    <xf numFmtId="0" fontId="35" fillId="0" borderId="86" xfId="0" applyFont="1" applyBorder="1" applyAlignment="1">
      <alignment horizontal="center" vertical="top" wrapText="1"/>
    </xf>
    <xf numFmtId="0" fontId="34" fillId="0" borderId="86" xfId="0" applyFont="1" applyBorder="1" applyAlignment="1">
      <alignment horizontal="justify" vertical="top" wrapText="1"/>
    </xf>
    <xf numFmtId="0" fontId="35" fillId="0" borderId="86" xfId="0" applyFont="1" applyBorder="1" applyAlignment="1">
      <alignment horizontal="center"/>
    </xf>
    <xf numFmtId="0" fontId="39" fillId="0" borderId="86" xfId="0" applyFont="1" applyBorder="1" applyAlignment="1">
      <alignment horizontal="right"/>
    </xf>
    <xf numFmtId="4" fontId="35" fillId="0" borderId="86" xfId="0" applyNumberFormat="1" applyFont="1" applyBorder="1" applyAlignment="1">
      <alignment horizontal="right"/>
    </xf>
    <xf numFmtId="4" fontId="34" fillId="0" borderId="86" xfId="0" applyNumberFormat="1" applyFont="1" applyBorder="1" applyAlignment="1">
      <alignment horizontal="right"/>
    </xf>
    <xf numFmtId="0" fontId="34" fillId="0" borderId="85" xfId="0" applyFont="1" applyBorder="1" applyAlignment="1">
      <alignment horizontal="center" vertical="top" wrapText="1"/>
    </xf>
    <xf numFmtId="0" fontId="35" fillId="0" borderId="87" xfId="0" applyFont="1" applyBorder="1" applyAlignment="1">
      <alignment horizontal="center" vertical="top" wrapText="1"/>
    </xf>
    <xf numFmtId="0" fontId="35" fillId="0" borderId="88" xfId="0" applyFont="1" applyBorder="1" applyAlignment="1">
      <alignment horizontal="justify" vertical="top" wrapText="1"/>
    </xf>
    <xf numFmtId="0" fontId="35" fillId="0" borderId="87" xfId="0" applyFont="1" applyBorder="1" applyAlignment="1">
      <alignment horizontal="center"/>
    </xf>
    <xf numFmtId="2" fontId="35" fillId="0" borderId="87" xfId="0" applyNumberFormat="1" applyFont="1" applyBorder="1" applyAlignment="1">
      <alignment horizontal="right"/>
    </xf>
    <xf numFmtId="4" fontId="35" fillId="0" borderId="87" xfId="0" applyNumberFormat="1" applyFont="1" applyBorder="1" applyAlignment="1">
      <alignment horizontal="right"/>
    </xf>
    <xf numFmtId="4" fontId="35" fillId="0" borderId="88" xfId="0" applyNumberFormat="1" applyFont="1" applyBorder="1" applyAlignment="1">
      <alignment horizontal="right"/>
    </xf>
    <xf numFmtId="0" fontId="34" fillId="0" borderId="88" xfId="0" applyFont="1" applyBorder="1" applyAlignment="1">
      <alignment horizontal="center" vertical="top" wrapText="1"/>
    </xf>
    <xf numFmtId="0" fontId="34" fillId="0" borderId="88" xfId="0" applyFont="1" applyBorder="1" applyAlignment="1">
      <alignment horizontal="justify" vertical="top" wrapText="1"/>
    </xf>
    <xf numFmtId="0" fontId="35" fillId="0" borderId="88" xfId="0" applyFont="1" applyBorder="1" applyAlignment="1">
      <alignment horizontal="center"/>
    </xf>
    <xf numFmtId="0" fontId="39" fillId="0" borderId="88" xfId="0" applyFont="1" applyBorder="1" applyAlignment="1">
      <alignment horizontal="right"/>
    </xf>
    <xf numFmtId="0" fontId="35" fillId="0" borderId="88" xfId="0" applyFont="1" applyBorder="1" applyAlignment="1">
      <alignment horizontal="center" vertical="top" wrapText="1"/>
    </xf>
    <xf numFmtId="0" fontId="34" fillId="0" borderId="88" xfId="0" applyFont="1" applyBorder="1" applyAlignment="1">
      <alignment horizontal="justify" vertical="top"/>
    </xf>
    <xf numFmtId="2" fontId="35" fillId="0" borderId="88" xfId="0" applyNumberFormat="1" applyFont="1" applyBorder="1" applyAlignment="1">
      <alignment horizontal="right"/>
    </xf>
    <xf numFmtId="0" fontId="35" fillId="0" borderId="88" xfId="0" applyFont="1" applyBorder="1" applyAlignment="1">
      <alignment horizontal="justify" vertical="top"/>
    </xf>
    <xf numFmtId="0" fontId="35" fillId="0" borderId="88" xfId="0" applyFont="1" applyBorder="1" applyAlignment="1">
      <alignment horizontal="right"/>
    </xf>
    <xf numFmtId="49" fontId="35" fillId="0" borderId="88" xfId="0" applyNumberFormat="1" applyFont="1" applyBorder="1" applyAlignment="1">
      <alignment horizontal="center" vertical="top"/>
    </xf>
    <xf numFmtId="0" fontId="38" fillId="0" borderId="88" xfId="0" applyFont="1" applyBorder="1" applyAlignment="1">
      <alignment horizontal="justify" vertical="top" wrapText="1"/>
    </xf>
    <xf numFmtId="4" fontId="35" fillId="0" borderId="88" xfId="0" applyNumberFormat="1" applyFont="1" applyBorder="1"/>
    <xf numFmtId="0" fontId="34" fillId="0" borderId="86" xfId="0" applyFont="1" applyBorder="1" applyAlignment="1">
      <alignment horizontal="center" vertical="top" wrapText="1"/>
    </xf>
    <xf numFmtId="0" fontId="35" fillId="0" borderId="0" xfId="0" applyFont="1" applyBorder="1" applyAlignment="1">
      <alignment horizontal="justify" vertical="top" wrapText="1"/>
    </xf>
    <xf numFmtId="0" fontId="35" fillId="0" borderId="0" xfId="0" applyFont="1" applyBorder="1" applyAlignment="1">
      <alignment horizontal="center"/>
    </xf>
    <xf numFmtId="0" fontId="35" fillId="0" borderId="0" xfId="0" applyFont="1" applyBorder="1" applyAlignment="1">
      <alignment horizontal="right"/>
    </xf>
    <xf numFmtId="4" fontId="35" fillId="0" borderId="0" xfId="0" applyNumberFormat="1" applyFont="1" applyBorder="1" applyAlignment="1">
      <alignment horizontal="right"/>
    </xf>
    <xf numFmtId="0" fontId="38" fillId="0" borderId="31" xfId="0" applyFont="1" applyBorder="1"/>
    <xf numFmtId="0" fontId="35" fillId="0" borderId="88" xfId="0" applyFont="1" applyBorder="1" applyAlignment="1">
      <alignment horizontal="center" vertical="top"/>
    </xf>
    <xf numFmtId="4" fontId="35" fillId="0" borderId="88" xfId="0" applyNumberFormat="1" applyFont="1" applyBorder="1" applyAlignment="1">
      <alignment horizontal="right" vertical="top"/>
    </xf>
    <xf numFmtId="0" fontId="35" fillId="0" borderId="87" xfId="0" applyFont="1" applyBorder="1" applyAlignment="1">
      <alignment horizontal="justify" vertical="top" wrapText="1"/>
    </xf>
    <xf numFmtId="0" fontId="35" fillId="0" borderId="88" xfId="0" applyFont="1" applyBorder="1" applyAlignment="1">
      <alignment horizontal="center" vertical="center"/>
    </xf>
    <xf numFmtId="0" fontId="35" fillId="0" borderId="86" xfId="0" applyFont="1" applyBorder="1"/>
    <xf numFmtId="0" fontId="34" fillId="0" borderId="0" xfId="0" applyFont="1" applyBorder="1" applyAlignment="1">
      <alignment horizontal="justify" vertical="top" wrapText="1"/>
    </xf>
    <xf numFmtId="0" fontId="39" fillId="0" borderId="0" xfId="0" applyFont="1" applyBorder="1" applyAlignment="1">
      <alignment horizontal="right"/>
    </xf>
    <xf numFmtId="4" fontId="34" fillId="0" borderId="0" xfId="0" applyNumberFormat="1" applyFont="1" applyBorder="1" applyAlignment="1">
      <alignment horizontal="right"/>
    </xf>
    <xf numFmtId="2" fontId="39" fillId="0" borderId="88" xfId="0" applyNumberFormat="1" applyFont="1" applyBorder="1" applyAlignment="1">
      <alignment horizontal="right"/>
    </xf>
    <xf numFmtId="1" fontId="39" fillId="0" borderId="88" xfId="0" applyNumberFormat="1" applyFont="1" applyBorder="1" applyAlignment="1">
      <alignment horizontal="right"/>
    </xf>
    <xf numFmtId="0" fontId="35" fillId="0" borderId="89" xfId="0" applyFont="1" applyBorder="1" applyAlignment="1">
      <alignment horizontal="center" vertical="top" wrapText="1"/>
    </xf>
    <xf numFmtId="2" fontId="35" fillId="0" borderId="86" xfId="0" applyNumberFormat="1" applyFont="1" applyBorder="1" applyAlignment="1">
      <alignment horizontal="right"/>
    </xf>
    <xf numFmtId="0" fontId="35" fillId="0" borderId="0" xfId="0" applyFont="1" applyBorder="1" applyAlignment="1">
      <alignment horizontal="center" vertical="top" wrapText="1"/>
    </xf>
    <xf numFmtId="2" fontId="35" fillId="0" borderId="0" xfId="0" applyNumberFormat="1" applyFont="1" applyBorder="1" applyAlignment="1">
      <alignment horizontal="right"/>
    </xf>
    <xf numFmtId="0" fontId="40" fillId="0" borderId="0" xfId="0" applyFont="1" applyBorder="1" applyAlignment="1">
      <alignment horizontal="left"/>
    </xf>
    <xf numFmtId="0" fontId="34" fillId="0" borderId="0" xfId="0" applyFont="1" applyBorder="1" applyAlignment="1">
      <alignment horizontal="left"/>
    </xf>
    <xf numFmtId="0" fontId="39" fillId="0" borderId="0" xfId="0" applyFont="1" applyAlignment="1">
      <alignment horizontal="right"/>
    </xf>
    <xf numFmtId="2" fontId="35" fillId="0" borderId="0" xfId="0" applyNumberFormat="1" applyFont="1" applyAlignment="1">
      <alignment horizontal="right"/>
    </xf>
    <xf numFmtId="0" fontId="34" fillId="0" borderId="0" xfId="0" applyFont="1" applyBorder="1" applyAlignment="1">
      <alignment horizontal="center"/>
    </xf>
    <xf numFmtId="0" fontId="34" fillId="0" borderId="0" xfId="0" applyFont="1" applyAlignment="1">
      <alignment horizontal="justify" vertical="top" wrapText="1"/>
    </xf>
    <xf numFmtId="0" fontId="35" fillId="0" borderId="0" xfId="0" applyFont="1" applyAlignment="1">
      <alignment horizontal="center"/>
    </xf>
    <xf numFmtId="0" fontId="34" fillId="0" borderId="0" xfId="0" applyFont="1" applyAlignment="1">
      <alignment horizontal="center" vertical="top" wrapText="1"/>
    </xf>
    <xf numFmtId="0" fontId="35" fillId="0" borderId="0" xfId="0" applyFont="1" applyAlignment="1">
      <alignment horizontal="justify" vertical="top" wrapText="1"/>
    </xf>
    <xf numFmtId="4" fontId="34" fillId="0" borderId="88" xfId="0" applyNumberFormat="1" applyFont="1" applyBorder="1" applyAlignment="1">
      <alignment horizontal="right"/>
    </xf>
    <xf numFmtId="0" fontId="35" fillId="0" borderId="0" xfId="0" applyFont="1" applyBorder="1"/>
    <xf numFmtId="0" fontId="35" fillId="0" borderId="71" xfId="0" applyFont="1" applyBorder="1" applyAlignment="1">
      <alignment horizontal="center"/>
    </xf>
    <xf numFmtId="0" fontId="39" fillId="0" borderId="71" xfId="0" applyFont="1" applyBorder="1" applyAlignment="1">
      <alignment horizontal="right"/>
    </xf>
    <xf numFmtId="4" fontId="34" fillId="0" borderId="71" xfId="0" applyNumberFormat="1" applyFont="1" applyBorder="1" applyAlignment="1">
      <alignment horizontal="right"/>
    </xf>
    <xf numFmtId="0" fontId="38" fillId="0" borderId="0" xfId="0" applyFont="1" applyAlignment="1">
      <alignment horizontal="justify" wrapText="1"/>
    </xf>
    <xf numFmtId="0" fontId="38" fillId="0" borderId="0" xfId="0" applyFont="1" applyAlignment="1">
      <alignment horizontal="center"/>
    </xf>
    <xf numFmtId="4" fontId="38" fillId="0" borderId="0" xfId="0" applyNumberFormat="1" applyFont="1" applyAlignment="1">
      <alignment horizontal="right"/>
    </xf>
    <xf numFmtId="0" fontId="35" fillId="0" borderId="88" xfId="0" applyFont="1" applyBorder="1"/>
    <xf numFmtId="0" fontId="41" fillId="0" borderId="0" xfId="11" applyFont="1" applyFill="1" applyBorder="1" applyAlignment="1">
      <alignment horizontal="left" vertical="top"/>
    </xf>
    <xf numFmtId="1" fontId="11" fillId="0" borderId="0" xfId="0" applyNumberFormat="1" applyFont="1" applyAlignment="1">
      <alignment horizontal="center" vertical="top"/>
    </xf>
    <xf numFmtId="0" fontId="35" fillId="0" borderId="0" xfId="0" applyFont="1" applyAlignment="1">
      <alignment horizontal="center" vertical="top" wrapText="1"/>
    </xf>
    <xf numFmtId="4" fontId="35" fillId="0" borderId="0" xfId="0" applyNumberFormat="1" applyFont="1" applyAlignment="1">
      <alignment vertical="top" wrapText="1"/>
    </xf>
    <xf numFmtId="0" fontId="11" fillId="0" borderId="0" xfId="0" applyFont="1" applyAlignment="1">
      <alignment vertical="top"/>
    </xf>
    <xf numFmtId="166" fontId="42" fillId="0" borderId="0" xfId="11" applyNumberFormat="1" applyFont="1" applyFill="1" applyBorder="1" applyAlignment="1">
      <alignment horizontal="center" vertical="top"/>
    </xf>
    <xf numFmtId="166" fontId="34" fillId="0" borderId="0" xfId="11" applyNumberFormat="1" applyFont="1" applyFill="1" applyBorder="1" applyAlignment="1">
      <alignment horizontal="center" vertical="top"/>
    </xf>
    <xf numFmtId="0" fontId="11" fillId="0" borderId="0" xfId="0" applyFont="1" applyBorder="1" applyAlignment="1">
      <alignment horizontal="center" vertical="top"/>
    </xf>
    <xf numFmtId="0" fontId="34" fillId="0" borderId="0" xfId="0" applyFont="1" applyBorder="1" applyAlignment="1">
      <alignment horizontal="center" vertical="top"/>
    </xf>
    <xf numFmtId="2" fontId="34" fillId="0" borderId="0" xfId="0" applyNumberFormat="1" applyFont="1" applyBorder="1" applyAlignment="1">
      <alignment horizontal="right" vertical="top"/>
    </xf>
    <xf numFmtId="49" fontId="42" fillId="0" borderId="0" xfId="0" applyNumberFormat="1" applyFont="1" applyAlignment="1">
      <alignment horizontal="center"/>
    </xf>
    <xf numFmtId="0" fontId="41" fillId="0" borderId="84" xfId="0" applyFont="1" applyBorder="1" applyAlignment="1">
      <alignment horizontal="center" vertical="center" wrapText="1"/>
    </xf>
    <xf numFmtId="0" fontId="34" fillId="0" borderId="84" xfId="0" applyFont="1" applyBorder="1" applyAlignment="1">
      <alignment horizontal="center" vertical="center" wrapText="1"/>
    </xf>
    <xf numFmtId="2" fontId="34" fillId="0" borderId="84" xfId="0" applyNumberFormat="1" applyFont="1" applyBorder="1" applyAlignment="1">
      <alignment horizontal="center" vertical="center" wrapText="1"/>
    </xf>
    <xf numFmtId="4" fontId="34" fillId="0" borderId="84" xfId="0" applyNumberFormat="1" applyFont="1" applyBorder="1" applyAlignment="1">
      <alignment horizontal="center" vertical="center" wrapText="1"/>
    </xf>
    <xf numFmtId="0" fontId="11" fillId="0" borderId="88" xfId="0" applyFont="1" applyBorder="1" applyAlignment="1">
      <alignment horizontal="center" vertical="top"/>
    </xf>
    <xf numFmtId="0" fontId="35" fillId="0" borderId="88" xfId="0" applyFont="1" applyBorder="1" applyAlignment="1"/>
    <xf numFmtId="49" fontId="42" fillId="0" borderId="88" xfId="0" applyNumberFormat="1" applyFont="1" applyBorder="1" applyAlignment="1">
      <alignment horizontal="center"/>
    </xf>
    <xf numFmtId="49" fontId="11" fillId="0" borderId="88" xfId="0" applyNumberFormat="1" applyFont="1" applyBorder="1" applyAlignment="1">
      <alignment horizontal="center" vertical="top" wrapText="1"/>
    </xf>
    <xf numFmtId="0" fontId="38" fillId="0" borderId="87" xfId="0" applyFont="1" applyBorder="1" applyAlignment="1">
      <alignment horizontal="justify" vertical="top" wrapText="1"/>
    </xf>
    <xf numFmtId="4" fontId="35" fillId="0" borderId="87" xfId="0" applyNumberFormat="1" applyFont="1" applyBorder="1"/>
    <xf numFmtId="49" fontId="11" fillId="0" borderId="88" xfId="0" applyNumberFormat="1" applyFont="1" applyBorder="1" applyAlignment="1">
      <alignment horizontal="center"/>
    </xf>
    <xf numFmtId="4" fontId="35" fillId="0" borderId="85" xfId="0" applyNumberFormat="1" applyFont="1" applyBorder="1"/>
    <xf numFmtId="0" fontId="35" fillId="0" borderId="88" xfId="0" applyFont="1" applyBorder="1" applyAlignment="1">
      <alignment horizontal="left"/>
    </xf>
    <xf numFmtId="49" fontId="11" fillId="0" borderId="86" xfId="0" applyNumberFormat="1" applyFont="1" applyBorder="1" applyAlignment="1">
      <alignment horizontal="center"/>
    </xf>
    <xf numFmtId="0" fontId="34" fillId="0" borderId="71" xfId="0" applyFont="1" applyBorder="1" applyAlignment="1">
      <alignment horizontal="left" vertical="top" wrapText="1"/>
    </xf>
    <xf numFmtId="0" fontId="34" fillId="0" borderId="71" xfId="0" applyFont="1" applyBorder="1" applyAlignment="1">
      <alignment horizontal="center"/>
    </xf>
    <xf numFmtId="4" fontId="34" fillId="0" borderId="71" xfId="0" applyNumberFormat="1" applyFont="1" applyBorder="1"/>
    <xf numFmtId="49" fontId="11" fillId="0" borderId="90" xfId="0" applyNumberFormat="1" applyFont="1" applyBorder="1" applyAlignment="1">
      <alignment horizontal="center"/>
    </xf>
    <xf numFmtId="0" fontId="35" fillId="0" borderId="90" xfId="0" applyFont="1" applyBorder="1" applyAlignment="1">
      <alignment horizontal="left" vertical="top" wrapText="1"/>
    </xf>
    <xf numFmtId="0" fontId="35" fillId="0" borderId="90" xfId="0" applyFont="1" applyBorder="1" applyAlignment="1">
      <alignment horizontal="center"/>
    </xf>
    <xf numFmtId="4" fontId="35" fillId="0" borderId="90" xfId="0" applyNumberFormat="1" applyFont="1" applyBorder="1"/>
    <xf numFmtId="0" fontId="35" fillId="0" borderId="87" xfId="0" applyFont="1" applyBorder="1" applyAlignment="1">
      <alignment horizontal="justify" vertical="top" wrapText="1" shrinkToFit="1"/>
    </xf>
    <xf numFmtId="0" fontId="35" fillId="0" borderId="91" xfId="0" applyFont="1" applyBorder="1" applyAlignment="1">
      <alignment horizontal="center"/>
    </xf>
    <xf numFmtId="4" fontId="35" fillId="0" borderId="91" xfId="0" applyNumberFormat="1" applyFont="1" applyBorder="1"/>
    <xf numFmtId="0" fontId="34" fillId="0" borderId="71" xfId="0" applyFont="1" applyBorder="1" applyAlignment="1">
      <alignment vertical="top" wrapText="1"/>
    </xf>
    <xf numFmtId="49" fontId="11" fillId="0" borderId="0" xfId="0" applyNumberFormat="1" applyFont="1" applyBorder="1" applyAlignment="1">
      <alignment horizontal="center"/>
    </xf>
    <xf numFmtId="4" fontId="35" fillId="0" borderId="0" xfId="0" applyNumberFormat="1" applyFont="1" applyBorder="1"/>
    <xf numFmtId="49" fontId="11" fillId="0" borderId="87" xfId="0" applyNumberFormat="1" applyFont="1" applyBorder="1" applyAlignment="1">
      <alignment horizontal="center" vertical="top" wrapText="1"/>
    </xf>
    <xf numFmtId="0" fontId="35" fillId="0" borderId="88" xfId="0" applyFont="1" applyBorder="1" applyAlignment="1">
      <alignment horizontal="left" vertical="top" wrapText="1"/>
    </xf>
    <xf numFmtId="49" fontId="11" fillId="0" borderId="91" xfId="0" applyNumberFormat="1" applyFont="1" applyBorder="1" applyAlignment="1">
      <alignment horizontal="center"/>
    </xf>
    <xf numFmtId="49" fontId="43" fillId="0" borderId="88" xfId="0" applyNumberFormat="1" applyFont="1" applyBorder="1" applyAlignment="1">
      <alignment horizontal="center"/>
    </xf>
    <xf numFmtId="0" fontId="35" fillId="0" borderId="91" xfId="0" applyFont="1" applyBorder="1" applyAlignment="1">
      <alignment horizontal="justify" vertical="top" wrapText="1"/>
    </xf>
    <xf numFmtId="0" fontId="35" fillId="0" borderId="88" xfId="0" applyFont="1" applyBorder="1" applyAlignment="1">
      <alignment horizontal="center" wrapText="1"/>
    </xf>
    <xf numFmtId="2" fontId="35" fillId="0" borderId="88" xfId="0" applyNumberFormat="1" applyFont="1" applyBorder="1" applyAlignment="1">
      <alignment horizontal="right" wrapText="1"/>
    </xf>
    <xf numFmtId="167" fontId="35" fillId="0" borderId="88" xfId="0" applyNumberFormat="1" applyFont="1" applyBorder="1" applyAlignment="1">
      <alignment horizontal="right"/>
    </xf>
    <xf numFmtId="49" fontId="11" fillId="0" borderId="87" xfId="0" applyNumberFormat="1" applyFont="1" applyBorder="1" applyAlignment="1">
      <alignment horizontal="center"/>
    </xf>
    <xf numFmtId="0" fontId="35" fillId="0" borderId="87" xfId="0" applyFont="1" applyBorder="1" applyAlignment="1">
      <alignment vertical="top"/>
    </xf>
    <xf numFmtId="0" fontId="35" fillId="0" borderId="87" xfId="0" applyFont="1" applyBorder="1" applyAlignment="1">
      <alignment horizontal="center" wrapText="1"/>
    </xf>
    <xf numFmtId="2" fontId="35" fillId="0" borderId="87" xfId="0" applyNumberFormat="1" applyFont="1" applyBorder="1" applyAlignment="1">
      <alignment horizontal="right" wrapText="1"/>
    </xf>
    <xf numFmtId="167" fontId="35" fillId="0" borderId="87" xfId="0" applyNumberFormat="1" applyFont="1" applyBorder="1" applyAlignment="1">
      <alignment horizontal="right"/>
    </xf>
    <xf numFmtId="0" fontId="35" fillId="0" borderId="88" xfId="0" applyFont="1" applyBorder="1" applyAlignment="1">
      <alignment horizontal="justify" wrapText="1"/>
    </xf>
    <xf numFmtId="49" fontId="11" fillId="0" borderId="0" xfId="0" applyNumberFormat="1" applyFont="1" applyAlignment="1">
      <alignment horizontal="center"/>
    </xf>
    <xf numFmtId="4" fontId="35" fillId="0" borderId="0" xfId="0" applyNumberFormat="1" applyFont="1"/>
    <xf numFmtId="0" fontId="40" fillId="0" borderId="0" xfId="0" applyFont="1" applyAlignment="1">
      <alignment horizontal="left" vertical="top"/>
    </xf>
    <xf numFmtId="0" fontId="34" fillId="0" borderId="0" xfId="0" applyFont="1" applyAlignment="1">
      <alignment horizontal="center" vertical="top"/>
    </xf>
    <xf numFmtId="0" fontId="34" fillId="0" borderId="88" xfId="0" applyFont="1" applyBorder="1" applyAlignment="1">
      <alignment horizontal="center"/>
    </xf>
    <xf numFmtId="4" fontId="34" fillId="0" borderId="88" xfId="0" applyNumberFormat="1" applyFont="1" applyBorder="1"/>
    <xf numFmtId="0" fontId="34" fillId="0" borderId="92" xfId="0" applyFont="1" applyBorder="1" applyAlignment="1">
      <alignment horizontal="right" vertical="top" wrapText="1"/>
    </xf>
    <xf numFmtId="0" fontId="34" fillId="0" borderId="93" xfId="0" applyFont="1" applyBorder="1" applyAlignment="1">
      <alignment horizontal="center"/>
    </xf>
    <xf numFmtId="4" fontId="34" fillId="0" borderId="93" xfId="0" applyNumberFormat="1" applyFont="1" applyBorder="1"/>
    <xf numFmtId="4" fontId="34" fillId="0" borderId="94" xfId="0" applyNumberFormat="1" applyFont="1" applyBorder="1"/>
    <xf numFmtId="4" fontId="34" fillId="0" borderId="95" xfId="0" applyNumberFormat="1" applyFont="1" applyBorder="1"/>
    <xf numFmtId="0" fontId="0" fillId="0" borderId="0" xfId="0" applyFont="1" applyAlignment="1">
      <alignment horizontal="center"/>
    </xf>
    <xf numFmtId="0" fontId="38" fillId="0" borderId="0" xfId="0" applyFont="1" applyAlignment="1"/>
    <xf numFmtId="0" fontId="44" fillId="0" borderId="0" xfId="0" applyFont="1" applyBorder="1"/>
    <xf numFmtId="0" fontId="44" fillId="0" borderId="0" xfId="0" applyFont="1" applyBorder="1" applyAlignment="1">
      <alignment horizontal="right"/>
    </xf>
    <xf numFmtId="0" fontId="46" fillId="0" borderId="0" xfId="0" applyFont="1" applyBorder="1" applyAlignment="1">
      <alignment horizontal="center"/>
    </xf>
    <xf numFmtId="0" fontId="44" fillId="0" borderId="0" xfId="0" applyFont="1" applyBorder="1" applyAlignment="1">
      <alignment horizontal="center"/>
    </xf>
    <xf numFmtId="0" fontId="47" fillId="0" borderId="0" xfId="0" applyFont="1" applyBorder="1"/>
    <xf numFmtId="2" fontId="32" fillId="0" borderId="0" xfId="0" applyNumberFormat="1" applyFont="1" applyBorder="1" applyAlignment="1">
      <alignment horizontal="right"/>
    </xf>
    <xf numFmtId="2" fontId="31" fillId="0" borderId="0" xfId="0" applyNumberFormat="1" applyFont="1" applyBorder="1" applyAlignment="1">
      <alignment horizontal="right"/>
    </xf>
    <xf numFmtId="1" fontId="44" fillId="0" borderId="0" xfId="0" applyNumberFormat="1" applyFont="1" applyBorder="1" applyAlignment="1">
      <alignment horizontal="center"/>
    </xf>
    <xf numFmtId="2" fontId="44" fillId="0" borderId="0" xfId="0" applyNumberFormat="1" applyFont="1" applyBorder="1" applyAlignment="1">
      <alignment horizontal="center"/>
    </xf>
    <xf numFmtId="2" fontId="44" fillId="0" borderId="0" xfId="0" applyNumberFormat="1" applyFont="1" applyBorder="1" applyAlignment="1">
      <alignment horizontal="right"/>
    </xf>
    <xf numFmtId="0" fontId="32" fillId="13" borderId="31" xfId="0" applyFont="1" applyFill="1" applyBorder="1" applyAlignment="1">
      <alignment vertical="center" wrapText="1"/>
    </xf>
    <xf numFmtId="0" fontId="32" fillId="13" borderId="31" xfId="0" applyFont="1" applyFill="1" applyBorder="1" applyAlignment="1">
      <alignment horizontal="center" vertical="center"/>
    </xf>
    <xf numFmtId="1" fontId="32" fillId="13" borderId="31" xfId="0" applyNumberFormat="1" applyFont="1" applyFill="1" applyBorder="1" applyAlignment="1">
      <alignment horizontal="center" vertical="center" wrapText="1"/>
    </xf>
    <xf numFmtId="2" fontId="32" fillId="13" borderId="31" xfId="0" applyNumberFormat="1" applyFont="1" applyFill="1" applyBorder="1" applyAlignment="1">
      <alignment horizontal="center" vertical="center" wrapText="1"/>
    </xf>
    <xf numFmtId="2" fontId="32" fillId="13" borderId="31" xfId="0" applyNumberFormat="1" applyFont="1" applyFill="1" applyBorder="1" applyAlignment="1">
      <alignment horizontal="left" vertical="center" wrapText="1"/>
    </xf>
    <xf numFmtId="0" fontId="32" fillId="0" borderId="10" xfId="0" applyFont="1" applyBorder="1"/>
    <xf numFmtId="0" fontId="32" fillId="0" borderId="10" xfId="0" applyFont="1" applyBorder="1" applyAlignment="1">
      <alignment horizontal="justify"/>
    </xf>
    <xf numFmtId="0" fontId="32" fillId="0" borderId="10" xfId="0" applyFont="1" applyBorder="1" applyAlignment="1">
      <alignment horizontal="center"/>
    </xf>
    <xf numFmtId="0" fontId="32" fillId="0" borderId="10" xfId="0" applyFont="1" applyBorder="1" applyAlignment="1">
      <alignment horizontal="right"/>
    </xf>
    <xf numFmtId="0" fontId="32" fillId="13" borderId="33" xfId="0" applyFont="1" applyFill="1" applyBorder="1" applyAlignment="1">
      <alignment vertical="center"/>
    </xf>
    <xf numFmtId="0" fontId="32" fillId="13" borderId="32" xfId="0" applyFont="1" applyFill="1" applyBorder="1" applyAlignment="1">
      <alignment vertical="center"/>
    </xf>
    <xf numFmtId="0" fontId="45" fillId="13" borderId="31" xfId="0" applyFont="1" applyFill="1" applyBorder="1" applyAlignment="1">
      <alignment horizontal="left" vertical="center"/>
    </xf>
    <xf numFmtId="4" fontId="32" fillId="13" borderId="33" xfId="0" applyNumberFormat="1" applyFont="1" applyFill="1" applyBorder="1" applyAlignment="1">
      <alignment horizontal="right"/>
    </xf>
    <xf numFmtId="0" fontId="32" fillId="0" borderId="31" xfId="0" applyFont="1" applyBorder="1" applyAlignment="1">
      <alignment horizontal="center"/>
    </xf>
    <xf numFmtId="0" fontId="32" fillId="0" borderId="31" xfId="0" applyFont="1" applyBorder="1" applyAlignment="1">
      <alignment horizontal="justify"/>
    </xf>
    <xf numFmtId="4" fontId="32" fillId="0" borderId="31" xfId="0" applyNumberFormat="1" applyFont="1" applyBorder="1"/>
    <xf numFmtId="0" fontId="32" fillId="0" borderId="31" xfId="0" applyFont="1" applyBorder="1" applyAlignment="1">
      <alignment horizontal="center" vertical="center"/>
    </xf>
    <xf numFmtId="0" fontId="32" fillId="0" borderId="34" xfId="0" applyFont="1" applyBorder="1" applyAlignment="1">
      <alignment horizontal="center"/>
    </xf>
    <xf numFmtId="0" fontId="32" fillId="0" borderId="31" xfId="0" applyFont="1" applyBorder="1"/>
    <xf numFmtId="0" fontId="32" fillId="0" borderId="35" xfId="0" applyFont="1" applyBorder="1" applyAlignment="1">
      <alignment horizontal="center"/>
    </xf>
    <xf numFmtId="3" fontId="32" fillId="0" borderId="31" xfId="0" applyNumberFormat="1" applyFont="1" applyBorder="1" applyAlignment="1">
      <alignment horizontal="center"/>
    </xf>
    <xf numFmtId="0" fontId="32" fillId="0" borderId="36" xfId="0" applyFont="1" applyBorder="1" applyAlignment="1">
      <alignment horizontal="center"/>
    </xf>
    <xf numFmtId="0" fontId="32" fillId="0" borderId="31" xfId="0" applyFont="1" applyBorder="1" applyAlignment="1">
      <alignment horizontal="justify" vertical="top"/>
    </xf>
    <xf numFmtId="4" fontId="32" fillId="0" borderId="31" xfId="0" applyNumberFormat="1" applyFont="1" applyBorder="1" applyAlignment="1"/>
    <xf numFmtId="0" fontId="31" fillId="0" borderId="31" xfId="0" applyFont="1" applyBorder="1" applyAlignment="1">
      <alignment horizontal="justify"/>
    </xf>
    <xf numFmtId="0" fontId="31" fillId="0" borderId="31" xfId="0" applyFont="1" applyBorder="1" applyAlignment="1">
      <alignment horizontal="center"/>
    </xf>
    <xf numFmtId="4" fontId="31" fillId="0" borderId="31" xfId="0" applyNumberFormat="1" applyFont="1" applyBorder="1"/>
    <xf numFmtId="0" fontId="32" fillId="0" borderId="34" xfId="0" applyFont="1" applyBorder="1" applyAlignment="1">
      <alignment horizontal="center" vertical="center"/>
    </xf>
    <xf numFmtId="0" fontId="32" fillId="0" borderId="31" xfId="0" applyFont="1" applyBorder="1" applyAlignment="1">
      <alignment horizontal="justify" vertical="center" wrapText="1"/>
    </xf>
    <xf numFmtId="4" fontId="32" fillId="0" borderId="31" xfId="0" applyNumberFormat="1" applyFont="1" applyBorder="1" applyAlignment="1">
      <alignment horizontal="right"/>
    </xf>
    <xf numFmtId="0" fontId="32" fillId="0" borderId="34" xfId="0" applyFont="1" applyBorder="1"/>
    <xf numFmtId="0" fontId="31" fillId="0" borderId="31" xfId="0" applyFont="1" applyBorder="1" applyAlignment="1">
      <alignment horizontal="left"/>
    </xf>
    <xf numFmtId="0" fontId="32" fillId="13" borderId="33" xfId="0" applyFont="1" applyFill="1" applyBorder="1"/>
    <xf numFmtId="0" fontId="32" fillId="13" borderId="32" xfId="0" applyFont="1" applyFill="1" applyBorder="1"/>
    <xf numFmtId="0" fontId="45" fillId="13" borderId="31" xfId="0" applyFont="1" applyFill="1" applyBorder="1" applyAlignment="1">
      <alignment horizontal="justify"/>
    </xf>
    <xf numFmtId="0" fontId="32" fillId="13" borderId="31" xfId="0" applyFont="1" applyFill="1" applyBorder="1" applyAlignment="1">
      <alignment horizontal="center"/>
    </xf>
    <xf numFmtId="0" fontId="32" fillId="13" borderId="31" xfId="0" applyFont="1" applyFill="1" applyBorder="1"/>
    <xf numFmtId="4" fontId="32" fillId="13" borderId="31" xfId="0" applyNumberFormat="1" applyFont="1" applyFill="1" applyBorder="1"/>
    <xf numFmtId="4" fontId="45" fillId="13" borderId="31" xfId="0" applyNumberFormat="1" applyFont="1" applyFill="1" applyBorder="1"/>
    <xf numFmtId="0" fontId="32" fillId="0" borderId="33" xfId="0" applyFont="1" applyBorder="1"/>
    <xf numFmtId="0" fontId="32" fillId="0" borderId="9" xfId="0" applyFont="1" applyBorder="1"/>
    <xf numFmtId="0" fontId="45" fillId="0" borderId="9" xfId="0" applyFont="1" applyBorder="1" applyAlignment="1">
      <alignment horizontal="justify"/>
    </xf>
    <xf numFmtId="0" fontId="32" fillId="0" borderId="9" xfId="0" applyFont="1" applyBorder="1" applyAlignment="1">
      <alignment horizontal="center"/>
    </xf>
    <xf numFmtId="4" fontId="32" fillId="0" borderId="9" xfId="0" applyNumberFormat="1" applyFont="1" applyBorder="1"/>
    <xf numFmtId="4" fontId="45" fillId="0" borderId="32" xfId="0" applyNumberFormat="1" applyFont="1" applyBorder="1"/>
    <xf numFmtId="0" fontId="32" fillId="0" borderId="32" xfId="0" applyFont="1" applyBorder="1"/>
    <xf numFmtId="0" fontId="45" fillId="0" borderId="34" xfId="0" applyFont="1" applyBorder="1" applyAlignment="1">
      <alignment horizontal="justify"/>
    </xf>
    <xf numFmtId="4" fontId="32" fillId="0" borderId="34" xfId="0" applyNumberFormat="1" applyFont="1" applyBorder="1"/>
    <xf numFmtId="4" fontId="45" fillId="0" borderId="34" xfId="0" applyNumberFormat="1" applyFont="1" applyBorder="1"/>
    <xf numFmtId="0" fontId="45" fillId="13" borderId="34" xfId="0" applyFont="1" applyFill="1" applyBorder="1" applyAlignment="1">
      <alignment horizontal="justify"/>
    </xf>
    <xf numFmtId="0" fontId="32" fillId="13" borderId="34" xfId="0" applyFont="1" applyFill="1" applyBorder="1" applyAlignment="1">
      <alignment horizontal="center"/>
    </xf>
    <xf numFmtId="0" fontId="32" fillId="13" borderId="34" xfId="0" applyFont="1" applyFill="1" applyBorder="1"/>
    <xf numFmtId="4" fontId="32" fillId="13" borderId="34" xfId="0" applyNumberFormat="1" applyFont="1" applyFill="1" applyBorder="1"/>
    <xf numFmtId="4" fontId="45" fillId="13" borderId="34" xfId="0" applyNumberFormat="1" applyFont="1" applyFill="1" applyBorder="1"/>
    <xf numFmtId="0" fontId="45" fillId="0" borderId="34" xfId="0" applyFont="1" applyBorder="1" applyAlignment="1">
      <alignment horizontal="left" vertical="center"/>
    </xf>
    <xf numFmtId="172" fontId="45" fillId="0" borderId="34" xfId="0" applyNumberFormat="1" applyFont="1" applyBorder="1" applyAlignment="1">
      <alignment horizontal="right"/>
    </xf>
    <xf numFmtId="0" fontId="32" fillId="0" borderId="31" xfId="0" applyFont="1" applyBorder="1" applyAlignment="1">
      <alignment horizontal="justify" wrapText="1"/>
    </xf>
    <xf numFmtId="0" fontId="32" fillId="0" borderId="34" xfId="0" applyFont="1" applyBorder="1" applyAlignment="1">
      <alignment horizontal="left" vertical="center"/>
    </xf>
    <xf numFmtId="0" fontId="32" fillId="0" borderId="31" xfId="0" applyFont="1" applyBorder="1" applyAlignment="1">
      <alignment horizontal="left" vertical="center" wrapText="1"/>
    </xf>
    <xf numFmtId="172" fontId="45" fillId="0" borderId="31" xfId="0" applyNumberFormat="1" applyFont="1" applyBorder="1" applyAlignment="1">
      <alignment horizontal="right"/>
    </xf>
    <xf numFmtId="0" fontId="32" fillId="0" borderId="31" xfId="0" applyFont="1" applyBorder="1" applyAlignment="1">
      <alignment horizontal="left" vertical="center"/>
    </xf>
    <xf numFmtId="0" fontId="45" fillId="0" borderId="31" xfId="0" applyFont="1" applyBorder="1" applyAlignment="1">
      <alignment horizontal="left" vertical="center"/>
    </xf>
    <xf numFmtId="0" fontId="32" fillId="13" borderId="31" xfId="0" applyFont="1" applyFill="1" applyBorder="1" applyAlignment="1">
      <alignment horizontal="right"/>
    </xf>
    <xf numFmtId="168" fontId="45" fillId="13" borderId="31" xfId="0" applyNumberFormat="1" applyFont="1" applyFill="1" applyBorder="1" applyAlignment="1">
      <alignment horizontal="right"/>
    </xf>
    <xf numFmtId="0" fontId="45" fillId="0" borderId="0" xfId="0" applyFont="1" applyBorder="1"/>
    <xf numFmtId="2" fontId="32" fillId="0" borderId="0" xfId="0" applyNumberFormat="1" applyFont="1" applyBorder="1" applyAlignment="1">
      <alignment horizontal="center"/>
    </xf>
    <xf numFmtId="2" fontId="31" fillId="0" borderId="0" xfId="0" applyNumberFormat="1" applyFont="1" applyBorder="1" applyAlignment="1">
      <alignment horizontal="center"/>
    </xf>
    <xf numFmtId="0" fontId="32" fillId="0" borderId="0" xfId="0" applyFont="1" applyBorder="1" applyAlignment="1">
      <alignment horizontal="right"/>
    </xf>
    <xf numFmtId="0" fontId="32" fillId="0" borderId="0" xfId="0" applyFont="1" applyBorder="1" applyAlignment="1">
      <alignment horizontal="left"/>
    </xf>
    <xf numFmtId="4" fontId="21" fillId="0" borderId="3" xfId="0" applyNumberFormat="1" applyFont="1" applyBorder="1"/>
    <xf numFmtId="0" fontId="23" fillId="0" borderId="0" xfId="0" applyFont="1" applyBorder="1" applyAlignment="1">
      <alignment horizontal="center" wrapText="1"/>
    </xf>
    <xf numFmtId="0" fontId="34" fillId="0" borderId="0" xfId="0" applyFont="1" applyBorder="1" applyAlignment="1">
      <alignment horizontal="left" vertical="top" wrapText="1"/>
    </xf>
    <xf numFmtId="0" fontId="32" fillId="0" borderId="0" xfId="0" applyFont="1" applyBorder="1"/>
    <xf numFmtId="0" fontId="32" fillId="0" borderId="0" xfId="0" applyFont="1" applyBorder="1" applyAlignment="1"/>
    <xf numFmtId="166" fontId="34" fillId="0" borderId="0" xfId="12" applyNumberFormat="1" applyFont="1" applyFill="1" applyBorder="1" applyAlignment="1" applyProtection="1">
      <alignment horizontal="left" vertical="top"/>
    </xf>
    <xf numFmtId="0" fontId="35" fillId="0" borderId="88" xfId="12" applyFont="1" applyFill="1" applyBorder="1" applyAlignment="1" applyProtection="1">
      <alignment horizontal="center"/>
    </xf>
    <xf numFmtId="2" fontId="35" fillId="0" borderId="88" xfId="12" applyNumberFormat="1" applyFont="1" applyFill="1" applyBorder="1" applyAlignment="1" applyProtection="1">
      <alignment horizontal="right" vertical="center"/>
    </xf>
    <xf numFmtId="2" fontId="35" fillId="0" borderId="88" xfId="12" applyNumberFormat="1" applyFont="1" applyFill="1" applyBorder="1" applyAlignment="1" applyProtection="1">
      <alignment horizontal="right"/>
    </xf>
    <xf numFmtId="0" fontId="35" fillId="0" borderId="88" xfId="12" applyFont="1" applyFill="1" applyBorder="1" applyAlignment="1" applyProtection="1">
      <alignment horizontal="right" vertical="center"/>
    </xf>
    <xf numFmtId="0" fontId="35" fillId="0" borderId="87" xfId="12" applyFont="1" applyFill="1" applyBorder="1" applyAlignment="1" applyProtection="1">
      <alignment horizontal="center"/>
    </xf>
    <xf numFmtId="0" fontId="23" fillId="0" borderId="88" xfId="0" applyFont="1" applyFill="1" applyBorder="1" applyAlignment="1">
      <alignment horizontal="left" vertical="top" wrapText="1"/>
    </xf>
    <xf numFmtId="0" fontId="23" fillId="0" borderId="88" xfId="0" applyFont="1" applyFill="1" applyBorder="1" applyAlignment="1">
      <alignment horizontal="center"/>
    </xf>
    <xf numFmtId="0" fontId="23" fillId="0" borderId="88" xfId="0" applyNumberFormat="1" applyFont="1" applyFill="1" applyBorder="1" applyAlignment="1">
      <alignment horizontal="center"/>
    </xf>
    <xf numFmtId="4" fontId="23" fillId="0" borderId="88" xfId="0" applyNumberFormat="1" applyFont="1" applyFill="1" applyBorder="1" applyAlignment="1">
      <alignment horizontal="center"/>
    </xf>
    <xf numFmtId="0" fontId="23" fillId="0" borderId="88" xfId="0" applyFont="1" applyFill="1" applyBorder="1" applyAlignment="1">
      <alignment horizontal="center" vertical="top" wrapText="1"/>
    </xf>
    <xf numFmtId="0" fontId="23" fillId="0" borderId="88" xfId="0" applyFont="1" applyFill="1" applyBorder="1" applyAlignment="1">
      <alignment horizontal="right"/>
    </xf>
    <xf numFmtId="0" fontId="23" fillId="0" borderId="88" xfId="7" applyFont="1" applyFill="1" applyBorder="1" applyAlignment="1">
      <alignment horizontal="center" vertical="center" wrapText="1"/>
    </xf>
    <xf numFmtId="0" fontId="23" fillId="0" borderId="88" xfId="0" applyFont="1" applyFill="1" applyBorder="1" applyAlignment="1">
      <alignment horizontal="center" wrapText="1"/>
    </xf>
    <xf numFmtId="0" fontId="23" fillId="0" borderId="88" xfId="7" applyFont="1" applyFill="1" applyBorder="1" applyAlignment="1">
      <alignment horizontal="justify" vertical="top" wrapText="1"/>
    </xf>
    <xf numFmtId="0" fontId="23" fillId="0" borderId="88" xfId="0" applyFont="1" applyBorder="1" applyAlignment="1">
      <alignment vertical="top" wrapText="1"/>
    </xf>
    <xf numFmtId="4" fontId="23" fillId="0" borderId="88" xfId="7" applyNumberFormat="1" applyFont="1" applyFill="1" applyBorder="1" applyAlignment="1">
      <alignment horizontal="left" vertical="top" wrapText="1"/>
    </xf>
    <xf numFmtId="0" fontId="23" fillId="0" borderId="88" xfId="0" applyNumberFormat="1" applyFont="1" applyFill="1" applyBorder="1" applyAlignment="1">
      <alignment horizontal="justify" vertical="top" wrapText="1"/>
    </xf>
    <xf numFmtId="0" fontId="23" fillId="0" borderId="88" xfId="0" applyNumberFormat="1" applyFont="1" applyFill="1" applyBorder="1" applyAlignment="1">
      <alignment horizontal="left" vertical="center" wrapText="1"/>
    </xf>
    <xf numFmtId="0" fontId="23" fillId="0" borderId="88" xfId="0" applyFont="1" applyFill="1" applyBorder="1" applyAlignment="1">
      <alignment horizontal="center" vertical="center"/>
    </xf>
    <xf numFmtId="0" fontId="23" fillId="0" borderId="88" xfId="0" applyNumberFormat="1" applyFont="1" applyFill="1" applyBorder="1" applyAlignment="1">
      <alignment horizontal="center" vertical="center" wrapText="1"/>
    </xf>
    <xf numFmtId="0" fontId="23" fillId="0" borderId="88" xfId="0" applyNumberFormat="1" applyFont="1" applyFill="1" applyBorder="1" applyAlignment="1">
      <alignment vertical="center" wrapText="1"/>
    </xf>
    <xf numFmtId="0" fontId="23" fillId="0" borderId="88" xfId="0" applyNumberFormat="1" applyFont="1" applyFill="1" applyBorder="1" applyAlignment="1">
      <alignment horizontal="left" vertical="top" wrapText="1"/>
    </xf>
    <xf numFmtId="0" fontId="23" fillId="0" borderId="88" xfId="0" applyFont="1" applyFill="1" applyBorder="1" applyAlignment="1">
      <alignment vertical="top" wrapText="1"/>
    </xf>
    <xf numFmtId="0" fontId="23" fillId="0" borderId="88" xfId="0" applyNumberFormat="1" applyFont="1" applyFill="1" applyBorder="1" applyAlignment="1">
      <alignment vertical="top" wrapText="1"/>
    </xf>
    <xf numFmtId="49" fontId="23" fillId="0" borderId="88" xfId="0" applyNumberFormat="1" applyFont="1" applyBorder="1" applyAlignment="1">
      <alignment horizontal="center" vertical="center"/>
    </xf>
    <xf numFmtId="0" fontId="23" fillId="0" borderId="88" xfId="0" applyNumberFormat="1" applyFont="1" applyBorder="1" applyAlignment="1">
      <alignment horizontal="center" vertical="center"/>
    </xf>
    <xf numFmtId="0" fontId="23" fillId="0" borderId="88" xfId="9" applyFont="1" applyFill="1" applyBorder="1" applyAlignment="1">
      <alignment vertical="top" wrapText="1"/>
    </xf>
    <xf numFmtId="0" fontId="23" fillId="0" borderId="88" xfId="9" applyNumberFormat="1" applyFont="1" applyFill="1" applyBorder="1" applyAlignment="1">
      <alignment vertical="top" wrapText="1"/>
    </xf>
    <xf numFmtId="0" fontId="23" fillId="0" borderId="88" xfId="0" applyFont="1" applyFill="1" applyBorder="1" applyAlignment="1">
      <alignment horizontal="center" vertical="center" wrapText="1"/>
    </xf>
    <xf numFmtId="0" fontId="23" fillId="0" borderId="88" xfId="0" applyNumberFormat="1" applyFont="1" applyFill="1" applyBorder="1" applyAlignment="1">
      <alignment horizontal="center" vertical="top" wrapText="1"/>
    </xf>
    <xf numFmtId="0" fontId="23" fillId="0" borderId="88" xfId="0" applyFont="1" applyFill="1" applyBorder="1" applyAlignment="1">
      <alignment horizontal="justify" vertical="top" wrapText="1"/>
    </xf>
    <xf numFmtId="0" fontId="23" fillId="0" borderId="88" xfId="4" applyNumberFormat="1" applyFont="1" applyFill="1" applyBorder="1" applyAlignment="1">
      <alignment horizontal="center"/>
    </xf>
    <xf numFmtId="0" fontId="27" fillId="0" borderId="88" xfId="0" applyFont="1" applyFill="1" applyBorder="1" applyAlignment="1">
      <alignment horizontal="center"/>
    </xf>
    <xf numFmtId="0" fontId="23" fillId="0" borderId="88" xfId="0" applyFont="1" applyFill="1" applyBorder="1"/>
    <xf numFmtId="0" fontId="23" fillId="0" borderId="88" xfId="10" applyFont="1" applyFill="1" applyBorder="1" applyAlignment="1">
      <alignment horizontal="center" vertical="top" wrapText="1"/>
    </xf>
    <xf numFmtId="0" fontId="23" fillId="0" borderId="88" xfId="10" applyFont="1" applyFill="1" applyBorder="1" applyAlignment="1">
      <alignment horizontal="justify" vertical="top" wrapText="1"/>
    </xf>
    <xf numFmtId="0" fontId="27" fillId="0" borderId="88" xfId="0" applyNumberFormat="1" applyFont="1" applyFill="1" applyBorder="1" applyAlignment="1">
      <alignment horizontal="center" vertical="top"/>
    </xf>
    <xf numFmtId="0" fontId="27" fillId="0" borderId="88" xfId="0" applyFont="1" applyFill="1" applyBorder="1" applyAlignment="1">
      <alignment horizontal="center" wrapText="1"/>
    </xf>
    <xf numFmtId="0" fontId="27" fillId="0" borderId="88" xfId="4" applyNumberFormat="1" applyFont="1" applyFill="1" applyBorder="1" applyAlignment="1">
      <alignment horizontal="center"/>
    </xf>
    <xf numFmtId="0" fontId="23" fillId="0" borderId="0" xfId="0" applyFont="1"/>
    <xf numFmtId="4" fontId="23" fillId="0" borderId="0" xfId="0" applyNumberFormat="1" applyFont="1"/>
    <xf numFmtId="9" fontId="23" fillId="0" borderId="0" xfId="0" applyNumberFormat="1" applyFont="1"/>
    <xf numFmtId="0" fontId="43" fillId="0" borderId="0" xfId="0" applyFont="1"/>
    <xf numFmtId="49" fontId="43" fillId="0" borderId="0" xfId="0" applyNumberFormat="1" applyFont="1" applyAlignment="1">
      <alignment horizontal="left"/>
    </xf>
    <xf numFmtId="49" fontId="43" fillId="0" borderId="0" xfId="0" applyNumberFormat="1" applyFont="1" applyBorder="1" applyAlignment="1">
      <alignment horizontal="center"/>
    </xf>
    <xf numFmtId="4" fontId="43" fillId="0" borderId="0" xfId="0" applyNumberFormat="1" applyFont="1" applyBorder="1" applyAlignment="1">
      <alignment horizontal="center"/>
    </xf>
    <xf numFmtId="49" fontId="43" fillId="0" borderId="0" xfId="0" applyNumberFormat="1" applyFont="1" applyBorder="1" applyAlignment="1">
      <alignment horizontal="left"/>
    </xf>
    <xf numFmtId="49" fontId="43" fillId="0" borderId="2" xfId="0" applyNumberFormat="1" applyFont="1" applyBorder="1" applyAlignment="1">
      <alignment horizontal="left"/>
    </xf>
    <xf numFmtId="49" fontId="43" fillId="0" borderId="2" xfId="0" applyNumberFormat="1" applyFont="1" applyBorder="1" applyAlignment="1">
      <alignment horizontal="center"/>
    </xf>
    <xf numFmtId="0" fontId="43" fillId="0" borderId="0" xfId="0" applyFont="1" applyBorder="1"/>
    <xf numFmtId="0" fontId="43" fillId="0" borderId="0" xfId="0" applyFont="1" applyAlignment="1">
      <alignment horizontal="center"/>
    </xf>
    <xf numFmtId="1" fontId="43" fillId="0" borderId="0" xfId="0" applyNumberFormat="1" applyFont="1" applyBorder="1" applyAlignment="1">
      <alignment horizontal="center"/>
    </xf>
    <xf numFmtId="1" fontId="43" fillId="0" borderId="2" xfId="0" applyNumberFormat="1" applyFont="1" applyBorder="1" applyAlignment="1">
      <alignment horizontal="center"/>
    </xf>
    <xf numFmtId="0" fontId="43" fillId="0" borderId="2" xfId="0" applyFont="1" applyBorder="1" applyAlignment="1">
      <alignment horizontal="center"/>
    </xf>
    <xf numFmtId="0" fontId="43" fillId="0" borderId="2" xfId="0" applyFont="1" applyBorder="1"/>
    <xf numFmtId="0" fontId="43" fillId="0" borderId="3" xfId="0" applyFont="1" applyBorder="1" applyAlignment="1">
      <alignment horizontal="center"/>
    </xf>
    <xf numFmtId="4" fontId="43" fillId="0" borderId="0" xfId="0" applyNumberFormat="1" applyFont="1"/>
    <xf numFmtId="9" fontId="43" fillId="0" borderId="0" xfId="0" applyNumberFormat="1" applyFont="1"/>
    <xf numFmtId="4" fontId="43" fillId="0" borderId="0" xfId="0" applyNumberFormat="1" applyFont="1" applyBorder="1" applyAlignment="1">
      <alignment horizontal="right"/>
    </xf>
    <xf numFmtId="0" fontId="43" fillId="0" borderId="0" xfId="0" applyFont="1" applyAlignment="1">
      <alignment horizontal="left"/>
    </xf>
    <xf numFmtId="49" fontId="43" fillId="0" borderId="0" xfId="0" applyNumberFormat="1" applyFont="1" applyBorder="1" applyAlignment="1">
      <alignment horizontal="left" vertical="center"/>
    </xf>
    <xf numFmtId="4" fontId="43" fillId="0" borderId="3" xfId="0" applyNumberFormat="1" applyFont="1" applyBorder="1" applyAlignment="1">
      <alignment horizontal="right"/>
    </xf>
    <xf numFmtId="49" fontId="48" fillId="0" borderId="0" xfId="0" applyNumberFormat="1" applyFont="1"/>
    <xf numFmtId="4" fontId="23" fillId="0" borderId="0" xfId="0" applyNumberFormat="1" applyFont="1" applyBorder="1" applyAlignment="1"/>
    <xf numFmtId="49" fontId="43" fillId="0" borderId="0" xfId="0" applyNumberFormat="1" applyFont="1"/>
    <xf numFmtId="4" fontId="43" fillId="0" borderId="0" xfId="0" applyNumberFormat="1" applyFont="1" applyBorder="1" applyAlignment="1"/>
    <xf numFmtId="49" fontId="43" fillId="0" borderId="0" xfId="0" applyNumberFormat="1" applyFont="1" applyAlignment="1">
      <alignment horizontal="center"/>
    </xf>
    <xf numFmtId="4" fontId="43" fillId="0" borderId="0" xfId="0" applyNumberFormat="1" applyFont="1" applyAlignment="1"/>
    <xf numFmtId="4" fontId="43" fillId="0" borderId="0" xfId="4" applyNumberFormat="1" applyFont="1" applyBorder="1" applyAlignment="1" applyProtection="1"/>
    <xf numFmtId="49" fontId="43" fillId="0" borderId="2" xfId="0" applyNumberFormat="1" applyFont="1" applyBorder="1"/>
    <xf numFmtId="4" fontId="43" fillId="0" borderId="2" xfId="4" applyNumberFormat="1" applyFont="1" applyBorder="1" applyAlignment="1" applyProtection="1"/>
    <xf numFmtId="4" fontId="43" fillId="0" borderId="3" xfId="4" applyNumberFormat="1" applyFont="1" applyBorder="1" applyAlignment="1" applyProtection="1"/>
    <xf numFmtId="49" fontId="23" fillId="0" borderId="0" xfId="0" applyNumberFormat="1" applyFont="1"/>
    <xf numFmtId="0" fontId="23" fillId="0" borderId="72" xfId="0" applyFont="1" applyBorder="1" applyAlignment="1">
      <alignment horizontal="center"/>
    </xf>
    <xf numFmtId="0" fontId="27" fillId="0" borderId="72" xfId="0" applyFont="1" applyBorder="1"/>
    <xf numFmtId="4" fontId="27" fillId="0" borderId="72" xfId="0" applyNumberFormat="1" applyFont="1" applyBorder="1"/>
    <xf numFmtId="4" fontId="27" fillId="0" borderId="72" xfId="0" applyNumberFormat="1" applyFont="1" applyBorder="1" applyAlignment="1"/>
    <xf numFmtId="4" fontId="43" fillId="0" borderId="0" xfId="0" applyNumberFormat="1" applyFont="1" applyAlignment="1">
      <alignment horizontal="center"/>
    </xf>
    <xf numFmtId="4" fontId="43" fillId="0" borderId="2" xfId="0" applyNumberFormat="1" applyFont="1" applyBorder="1"/>
    <xf numFmtId="0" fontId="43" fillId="0" borderId="0" xfId="0" applyFont="1" applyBorder="1" applyAlignment="1">
      <alignment horizontal="center"/>
    </xf>
    <xf numFmtId="0" fontId="43" fillId="0" borderId="0" xfId="0" applyFont="1" applyBorder="1" applyAlignment="1">
      <alignment horizontal="left" vertical="top"/>
    </xf>
    <xf numFmtId="0" fontId="34" fillId="0" borderId="100" xfId="0" applyFont="1" applyBorder="1" applyAlignment="1" applyProtection="1">
      <alignment horizontal="center" vertical="center" wrapText="1"/>
      <protection locked="0"/>
    </xf>
    <xf numFmtId="0" fontId="34" fillId="0" borderId="101" xfId="0" applyFont="1" applyBorder="1" applyAlignment="1" applyProtection="1">
      <alignment horizontal="center" vertical="center" wrapText="1"/>
      <protection locked="0"/>
    </xf>
    <xf numFmtId="0" fontId="34" fillId="0" borderId="106" xfId="0" applyFont="1" applyBorder="1" applyAlignment="1" applyProtection="1">
      <alignment horizontal="center" vertical="center" wrapText="1"/>
      <protection locked="0"/>
    </xf>
    <xf numFmtId="49" fontId="23" fillId="7" borderId="58" xfId="13" applyNumberFormat="1" applyFont="1" applyFill="1" applyBorder="1" applyAlignment="1">
      <alignment horizontal="center" vertical="center" wrapText="1"/>
    </xf>
    <xf numFmtId="49" fontId="23" fillId="0" borderId="58" xfId="13" applyNumberFormat="1" applyFont="1" applyFill="1" applyBorder="1" applyAlignment="1">
      <alignment horizontal="center" vertical="center"/>
    </xf>
    <xf numFmtId="0" fontId="23" fillId="0" borderId="31" xfId="13" applyFont="1" applyFill="1" applyBorder="1" applyAlignment="1">
      <alignment horizontal="left" vertical="top" wrapText="1"/>
    </xf>
    <xf numFmtId="0" fontId="23" fillId="0" borderId="31" xfId="13" applyFont="1" applyFill="1" applyBorder="1" applyAlignment="1">
      <alignment horizontal="center"/>
    </xf>
    <xf numFmtId="0" fontId="23" fillId="0" borderId="31" xfId="13" applyNumberFormat="1" applyFont="1" applyFill="1" applyBorder="1" applyAlignment="1">
      <alignment horizontal="left" vertical="top" wrapText="1"/>
    </xf>
    <xf numFmtId="0" fontId="23" fillId="0" borderId="31" xfId="13" applyFont="1" applyFill="1" applyBorder="1" applyAlignment="1">
      <alignment horizontal="center" wrapText="1"/>
    </xf>
    <xf numFmtId="0" fontId="23" fillId="0" borderId="31" xfId="13" applyFont="1" applyFill="1" applyBorder="1" applyAlignment="1">
      <alignment vertical="top" wrapText="1"/>
    </xf>
    <xf numFmtId="0" fontId="23" fillId="0" borderId="58" xfId="13" applyFont="1" applyBorder="1" applyAlignment="1">
      <alignment horizontal="center" vertical="center"/>
    </xf>
    <xf numFmtId="0" fontId="23" fillId="0" borderId="31" xfId="13" applyFont="1" applyBorder="1" applyAlignment="1">
      <alignment horizontal="center"/>
    </xf>
    <xf numFmtId="49" fontId="23" fillId="0" borderId="61" xfId="13" applyNumberFormat="1" applyFont="1" applyFill="1" applyBorder="1" applyAlignment="1">
      <alignment horizontal="center" vertical="center"/>
    </xf>
    <xf numFmtId="0" fontId="23" fillId="0" borderId="62" xfId="13" applyFont="1" applyFill="1" applyBorder="1" applyAlignment="1">
      <alignment horizontal="center" wrapText="1"/>
    </xf>
    <xf numFmtId="0" fontId="23" fillId="0" borderId="33" xfId="13" applyFont="1" applyFill="1" applyBorder="1" applyAlignment="1">
      <alignment horizontal="center" vertical="center"/>
    </xf>
    <xf numFmtId="0" fontId="23" fillId="0" borderId="9" xfId="13" applyFont="1" applyFill="1" applyBorder="1" applyAlignment="1">
      <alignment horizontal="center" vertical="top"/>
    </xf>
    <xf numFmtId="0" fontId="23" fillId="0" borderId="9" xfId="13" applyFont="1" applyFill="1" applyBorder="1" applyAlignment="1">
      <alignment horizontal="center"/>
    </xf>
    <xf numFmtId="49" fontId="23" fillId="0" borderId="65" xfId="13" applyNumberFormat="1" applyFont="1" applyFill="1" applyBorder="1" applyAlignment="1">
      <alignment horizontal="center" vertical="center"/>
    </xf>
    <xf numFmtId="49" fontId="23" fillId="0" borderId="53" xfId="13" applyNumberFormat="1" applyFont="1" applyFill="1" applyBorder="1" applyAlignment="1">
      <alignment horizontal="center" vertical="center"/>
    </xf>
    <xf numFmtId="49" fontId="23" fillId="0" borderId="33" xfId="13" applyNumberFormat="1" applyFont="1" applyFill="1" applyBorder="1" applyAlignment="1">
      <alignment horizontal="center" vertical="center"/>
    </xf>
    <xf numFmtId="0" fontId="23" fillId="0" borderId="88" xfId="14" applyFont="1" applyFill="1" applyBorder="1" applyAlignment="1">
      <alignment horizontal="justify" vertical="top" wrapText="1"/>
    </xf>
    <xf numFmtId="0" fontId="23" fillId="0" borderId="0" xfId="0" applyFont="1" applyAlignment="1">
      <alignment horizontal="center"/>
    </xf>
    <xf numFmtId="0" fontId="23" fillId="0" borderId="0" xfId="0" applyFont="1" applyAlignment="1">
      <alignment horizontal="center" vertical="center"/>
    </xf>
    <xf numFmtId="0" fontId="27" fillId="0" borderId="0" xfId="0" applyFont="1" applyFill="1" applyAlignment="1">
      <alignment horizontal="left" vertical="center"/>
    </xf>
    <xf numFmtId="0" fontId="23" fillId="0" borderId="0" xfId="0" applyFont="1" applyBorder="1" applyAlignment="1">
      <alignment wrapText="1"/>
    </xf>
    <xf numFmtId="0" fontId="23" fillId="0" borderId="0" xfId="0" applyFont="1" applyFill="1" applyAlignment="1">
      <alignment horizontal="center"/>
    </xf>
    <xf numFmtId="0" fontId="23" fillId="0" borderId="0" xfId="0" applyFont="1" applyFill="1" applyAlignment="1">
      <alignment horizontal="right"/>
    </xf>
    <xf numFmtId="0" fontId="19" fillId="0" borderId="0" xfId="0" applyFont="1" applyFill="1"/>
    <xf numFmtId="0" fontId="23" fillId="0" borderId="76" xfId="0" applyFont="1" applyFill="1" applyBorder="1" applyAlignment="1">
      <alignment vertical="center" wrapText="1"/>
    </xf>
    <xf numFmtId="4" fontId="23" fillId="0" borderId="74" xfId="0" applyNumberFormat="1" applyFont="1" applyFill="1" applyBorder="1" applyAlignment="1">
      <alignment horizontal="center" wrapText="1"/>
    </xf>
    <xf numFmtId="0" fontId="23" fillId="0" borderId="0" xfId="0" applyFont="1" applyFill="1" applyAlignment="1">
      <alignment vertical="center" wrapText="1"/>
    </xf>
    <xf numFmtId="0" fontId="23" fillId="0" borderId="77" xfId="0" applyFont="1" applyFill="1" applyBorder="1" applyAlignment="1">
      <alignment vertical="center" wrapText="1"/>
    </xf>
    <xf numFmtId="0" fontId="23" fillId="0" borderId="0" xfId="0" applyFont="1" applyFill="1" applyAlignment="1">
      <alignment horizontal="justify" vertical="center"/>
    </xf>
    <xf numFmtId="0" fontId="23" fillId="0" borderId="0" xfId="0" applyFont="1" applyFill="1" applyAlignment="1">
      <alignment horizontal="center" vertical="center" wrapText="1"/>
    </xf>
    <xf numFmtId="0" fontId="23" fillId="0" borderId="0" xfId="0" applyFont="1" applyFill="1" applyAlignment="1">
      <alignment horizontal="center"/>
    </xf>
    <xf numFmtId="0" fontId="23" fillId="0" borderId="0" xfId="0" applyFont="1" applyFill="1" applyAlignment="1">
      <alignment horizontal="center" vertical="center"/>
    </xf>
    <xf numFmtId="0" fontId="49" fillId="0" borderId="0" xfId="0" applyFont="1" applyFill="1"/>
    <xf numFmtId="0" fontId="27" fillId="0" borderId="81" xfId="0" applyFont="1" applyFill="1" applyBorder="1" applyAlignment="1">
      <alignment horizontal="center" vertical="center" wrapText="1"/>
    </xf>
    <xf numFmtId="0" fontId="27" fillId="0" borderId="82" xfId="0" applyFont="1" applyFill="1" applyBorder="1" applyAlignment="1">
      <alignment horizontal="center" vertical="center" wrapText="1"/>
    </xf>
    <xf numFmtId="0" fontId="23" fillId="0" borderId="82" xfId="0" applyFont="1" applyFill="1" applyBorder="1" applyAlignment="1">
      <alignment horizontal="center" wrapText="1"/>
    </xf>
    <xf numFmtId="0" fontId="23" fillId="0" borderId="82" xfId="0" applyFont="1" applyFill="1" applyBorder="1" applyAlignment="1">
      <alignment horizontal="right" vertical="center" wrapText="1"/>
    </xf>
    <xf numFmtId="0" fontId="23" fillId="0" borderId="83" xfId="0" applyFont="1" applyFill="1" applyBorder="1" applyAlignment="1">
      <alignment horizontal="right" vertical="center" wrapText="1"/>
    </xf>
    <xf numFmtId="0" fontId="23" fillId="0" borderId="80" xfId="0" applyFont="1" applyFill="1" applyBorder="1" applyAlignment="1">
      <alignment horizontal="center" vertical="center"/>
    </xf>
    <xf numFmtId="0" fontId="27" fillId="0" borderId="8" xfId="0" applyFont="1" applyFill="1" applyBorder="1" applyAlignment="1">
      <alignment vertical="center" wrapText="1"/>
    </xf>
    <xf numFmtId="0" fontId="23" fillId="0" borderId="8" xfId="0" applyFont="1" applyFill="1" applyBorder="1" applyAlignment="1">
      <alignment horizontal="center" wrapText="1"/>
    </xf>
    <xf numFmtId="0" fontId="23" fillId="0" borderId="8" xfId="0" applyFont="1" applyFill="1" applyBorder="1" applyAlignment="1">
      <alignment horizontal="right" vertical="center" wrapText="1"/>
    </xf>
    <xf numFmtId="0" fontId="23" fillId="0" borderId="76" xfId="0" applyFont="1" applyFill="1" applyBorder="1" applyAlignment="1">
      <alignment horizontal="center"/>
    </xf>
    <xf numFmtId="0" fontId="23" fillId="0" borderId="76" xfId="0" applyFont="1" applyFill="1" applyBorder="1" applyAlignment="1">
      <alignment horizontal="center" wrapText="1"/>
    </xf>
    <xf numFmtId="0" fontId="23" fillId="0" borderId="76" xfId="0" applyFont="1" applyFill="1" applyBorder="1" applyAlignment="1">
      <alignment horizontal="right" vertical="center"/>
    </xf>
    <xf numFmtId="4" fontId="23" fillId="0" borderId="76" xfId="0" applyNumberFormat="1" applyFont="1" applyFill="1" applyBorder="1" applyAlignment="1">
      <alignment horizontal="center" wrapText="1"/>
    </xf>
    <xf numFmtId="4" fontId="23" fillId="0" borderId="76" xfId="0" applyNumberFormat="1" applyFont="1" applyFill="1" applyBorder="1" applyAlignment="1">
      <alignment horizontal="right" vertical="center"/>
    </xf>
    <xf numFmtId="0" fontId="23" fillId="0" borderId="74" xfId="0" applyFont="1" applyFill="1" applyBorder="1" applyAlignment="1">
      <alignment vertical="center" wrapText="1"/>
    </xf>
    <xf numFmtId="0" fontId="23" fillId="0" borderId="74" xfId="0" applyFont="1" applyFill="1" applyBorder="1" applyAlignment="1">
      <alignment horizontal="center"/>
    </xf>
    <xf numFmtId="4" fontId="23" fillId="0" borderId="74" xfId="0" applyNumberFormat="1" applyFont="1" applyFill="1" applyBorder="1" applyAlignment="1">
      <alignment horizontal="right" vertical="center"/>
    </xf>
    <xf numFmtId="0" fontId="27" fillId="0" borderId="73" xfId="0" applyFont="1" applyFill="1" applyBorder="1" applyAlignment="1">
      <alignment horizontal="center" vertical="center"/>
    </xf>
    <xf numFmtId="0" fontId="23" fillId="0" borderId="74" xfId="0" applyFont="1" applyFill="1" applyBorder="1" applyAlignment="1">
      <alignment horizontal="justify" vertical="center" wrapText="1"/>
    </xf>
    <xf numFmtId="0" fontId="23" fillId="0" borderId="75" xfId="0" applyFont="1" applyFill="1" applyBorder="1" applyAlignment="1">
      <alignment horizontal="center" vertical="center"/>
    </xf>
    <xf numFmtId="0" fontId="23" fillId="0" borderId="73" xfId="0" applyFont="1" applyFill="1" applyBorder="1" applyAlignment="1">
      <alignment horizontal="center" vertical="center"/>
    </xf>
    <xf numFmtId="0" fontId="23" fillId="0" borderId="77" xfId="0" applyFont="1" applyFill="1" applyBorder="1" applyAlignment="1">
      <alignment horizontal="center"/>
    </xf>
    <xf numFmtId="0" fontId="23" fillId="0" borderId="96" xfId="0" applyFont="1" applyFill="1" applyBorder="1" applyAlignment="1">
      <alignment vertical="center"/>
    </xf>
    <xf numFmtId="0" fontId="23" fillId="0" borderId="97" xfId="0" applyFont="1" applyFill="1" applyBorder="1" applyAlignment="1">
      <alignment horizontal="center"/>
    </xf>
    <xf numFmtId="4" fontId="23" fillId="0" borderId="97" xfId="0" applyNumberFormat="1" applyFont="1" applyFill="1" applyBorder="1" applyAlignment="1">
      <alignment horizontal="center" wrapText="1"/>
    </xf>
    <xf numFmtId="4" fontId="23" fillId="0" borderId="97" xfId="0" applyNumberFormat="1" applyFont="1" applyFill="1" applyBorder="1" applyAlignment="1">
      <alignment horizontal="right" vertical="center"/>
    </xf>
    <xf numFmtId="0" fontId="23" fillId="0" borderId="98" xfId="0" applyFont="1" applyFill="1" applyBorder="1" applyAlignment="1">
      <alignment vertical="center" wrapText="1"/>
    </xf>
    <xf numFmtId="0" fontId="23" fillId="0" borderId="99" xfId="0" applyFont="1" applyFill="1" applyBorder="1" applyAlignment="1">
      <alignment horizontal="center"/>
    </xf>
    <xf numFmtId="4" fontId="23" fillId="0" borderId="99" xfId="0" applyNumberFormat="1" applyFont="1" applyFill="1" applyBorder="1" applyAlignment="1">
      <alignment horizontal="center" wrapText="1"/>
    </xf>
    <xf numFmtId="4" fontId="23" fillId="0" borderId="99" xfId="0" applyNumberFormat="1" applyFont="1" applyFill="1" applyBorder="1" applyAlignment="1">
      <alignment horizontal="right" vertical="center"/>
    </xf>
    <xf numFmtId="0" fontId="23" fillId="0" borderId="73" xfId="0" applyFont="1" applyFill="1" applyBorder="1" applyAlignment="1">
      <alignment vertical="top"/>
    </xf>
    <xf numFmtId="0" fontId="23" fillId="0" borderId="74" xfId="0" applyFont="1" applyFill="1" applyBorder="1" applyAlignment="1">
      <alignment wrapText="1"/>
    </xf>
    <xf numFmtId="4" fontId="23" fillId="0" borderId="74" xfId="0" applyNumberFormat="1" applyFont="1" applyFill="1" applyBorder="1" applyAlignment="1">
      <alignment horizontal="right"/>
    </xf>
    <xf numFmtId="0" fontId="27" fillId="0" borderId="77" xfId="0" applyFont="1" applyFill="1" applyBorder="1" applyAlignment="1">
      <alignment horizontal="center" vertical="center"/>
    </xf>
    <xf numFmtId="0" fontId="27" fillId="0" borderId="76" xfId="0" applyFont="1" applyFill="1" applyBorder="1" applyAlignment="1">
      <alignment vertical="center" wrapText="1"/>
    </xf>
    <xf numFmtId="0" fontId="27" fillId="0" borderId="74" xfId="0" applyFont="1" applyFill="1" applyBorder="1" applyAlignment="1">
      <alignment vertical="center" wrapText="1"/>
    </xf>
    <xf numFmtId="0" fontId="27" fillId="0" borderId="80" xfId="0" applyFont="1" applyFill="1" applyBorder="1" applyAlignment="1">
      <alignment horizontal="center" vertical="center"/>
    </xf>
    <xf numFmtId="0" fontId="23" fillId="0" borderId="8" xfId="0" applyFont="1" applyFill="1" applyBorder="1" applyAlignment="1">
      <alignment vertical="center" wrapText="1"/>
    </xf>
    <xf numFmtId="0" fontId="23" fillId="0" borderId="8" xfId="0" applyFont="1" applyFill="1" applyBorder="1" applyAlignment="1">
      <alignment horizontal="center"/>
    </xf>
    <xf numFmtId="4" fontId="23" fillId="0" borderId="8" xfId="0" applyNumberFormat="1" applyFont="1" applyFill="1" applyBorder="1" applyAlignment="1">
      <alignment horizontal="center" wrapText="1"/>
    </xf>
    <xf numFmtId="4" fontId="23" fillId="0" borderId="8" xfId="0" applyNumberFormat="1" applyFont="1" applyFill="1" applyBorder="1" applyAlignment="1">
      <alignment horizontal="right" vertical="center"/>
    </xf>
    <xf numFmtId="0" fontId="27" fillId="0" borderId="0" xfId="0" applyFont="1" applyFill="1" applyBorder="1" applyAlignment="1">
      <alignment vertical="center" wrapText="1"/>
    </xf>
    <xf numFmtId="0" fontId="23" fillId="0" borderId="0" xfId="0" applyFont="1" applyFill="1" applyBorder="1" applyAlignment="1">
      <alignment horizontal="center" wrapText="1"/>
    </xf>
    <xf numFmtId="0" fontId="23" fillId="0" borderId="0" xfId="0" applyFont="1" applyFill="1" applyBorder="1" applyAlignment="1">
      <alignment horizontal="right" vertical="center"/>
    </xf>
    <xf numFmtId="0" fontId="49" fillId="0" borderId="0" xfId="0" applyFont="1" applyFill="1" applyAlignment="1">
      <alignment horizontal="center"/>
    </xf>
    <xf numFmtId="0" fontId="49" fillId="0" borderId="0" xfId="0" applyFont="1" applyFill="1" applyAlignment="1">
      <alignment horizontal="right"/>
    </xf>
    <xf numFmtId="0" fontId="27" fillId="0" borderId="0" xfId="0" applyFont="1" applyFill="1" applyBorder="1" applyAlignment="1">
      <alignment horizontal="center" vertical="center"/>
    </xf>
    <xf numFmtId="0" fontId="27" fillId="0" borderId="73" xfId="0" applyFont="1" applyFill="1" applyBorder="1" applyAlignment="1">
      <alignment vertical="center"/>
    </xf>
    <xf numFmtId="0" fontId="23" fillId="0" borderId="74" xfId="0" applyFont="1" applyFill="1" applyBorder="1" applyAlignment="1">
      <alignment horizontal="center" wrapText="1"/>
    </xf>
    <xf numFmtId="0" fontId="23" fillId="0" borderId="74" xfId="0" applyFont="1" applyFill="1" applyBorder="1" applyAlignment="1">
      <alignment horizontal="right" vertical="center" wrapText="1"/>
    </xf>
    <xf numFmtId="0" fontId="23" fillId="0" borderId="73" xfId="0" applyFont="1" applyFill="1" applyBorder="1" applyAlignment="1">
      <alignment horizontal="right" vertical="center"/>
    </xf>
    <xf numFmtId="0" fontId="49" fillId="0" borderId="0" xfId="0" applyFont="1"/>
    <xf numFmtId="49" fontId="23" fillId="0" borderId="0" xfId="0" applyNumberFormat="1" applyFont="1" applyAlignment="1">
      <alignment horizontal="center" vertical="top"/>
    </xf>
    <xf numFmtId="49" fontId="23" fillId="0" borderId="7"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0" fontId="23" fillId="0" borderId="30" xfId="0" applyFont="1" applyFill="1" applyBorder="1" applyAlignment="1">
      <alignment horizontal="center" vertical="center"/>
    </xf>
    <xf numFmtId="4" fontId="23" fillId="0" borderId="30" xfId="0" applyNumberFormat="1" applyFont="1" applyFill="1" applyBorder="1" applyAlignment="1">
      <alignment horizontal="center" vertical="center" wrapText="1"/>
    </xf>
    <xf numFmtId="0" fontId="23" fillId="3" borderId="30" xfId="0" applyFont="1" applyFill="1" applyBorder="1" applyAlignment="1">
      <alignment horizontal="center" vertical="center"/>
    </xf>
    <xf numFmtId="4" fontId="23" fillId="0" borderId="8" xfId="0" applyNumberFormat="1" applyFont="1" applyFill="1" applyBorder="1" applyAlignment="1">
      <alignment horizontal="center" vertical="center"/>
    </xf>
    <xf numFmtId="49" fontId="27" fillId="0" borderId="0" xfId="0" applyNumberFormat="1" applyFont="1" applyBorder="1" applyAlignment="1">
      <alignment horizontal="center" vertical="center"/>
    </xf>
    <xf numFmtId="49" fontId="23" fillId="0" borderId="0" xfId="0" applyNumberFormat="1" applyFont="1" applyBorder="1" applyAlignment="1">
      <alignment horizontal="center" vertical="top"/>
    </xf>
    <xf numFmtId="0" fontId="27" fillId="0" borderId="0" xfId="0" applyFont="1" applyBorder="1" applyAlignment="1">
      <alignment horizontal="left" vertical="center"/>
    </xf>
    <xf numFmtId="49" fontId="23" fillId="0" borderId="0" xfId="0" applyNumberFormat="1" applyFont="1" applyFill="1" applyBorder="1" applyAlignment="1">
      <alignment horizontal="center" vertical="center"/>
    </xf>
    <xf numFmtId="4" fontId="23" fillId="0" borderId="0" xfId="0" applyNumberFormat="1" applyFont="1" applyFill="1" applyBorder="1" applyAlignment="1">
      <alignment horizontal="right" vertical="center"/>
    </xf>
    <xf numFmtId="0" fontId="23" fillId="3" borderId="0" xfId="0" applyFont="1" applyFill="1" applyBorder="1"/>
    <xf numFmtId="4" fontId="23" fillId="0" borderId="0" xfId="0" applyNumberFormat="1" applyFont="1" applyFill="1" applyBorder="1"/>
    <xf numFmtId="49" fontId="23" fillId="0" borderId="0" xfId="0" applyNumberFormat="1" applyFont="1" applyFill="1" applyBorder="1" applyAlignment="1">
      <alignment horizontal="center" vertical="top" wrapText="1"/>
    </xf>
    <xf numFmtId="49" fontId="23" fillId="0" borderId="0" xfId="0" applyNumberFormat="1" applyFont="1" applyFill="1" applyBorder="1" applyAlignment="1">
      <alignment horizontal="center" vertical="center" wrapText="1"/>
    </xf>
    <xf numFmtId="0" fontId="27" fillId="0" borderId="0" xfId="0" applyFont="1" applyBorder="1" applyAlignment="1">
      <alignment horizontal="left" vertical="top" wrapText="1"/>
    </xf>
    <xf numFmtId="4" fontId="23" fillId="0" borderId="0" xfId="0" applyNumberFormat="1" applyFont="1" applyFill="1" applyBorder="1" applyAlignment="1">
      <alignment horizontal="center" vertical="center" wrapText="1"/>
    </xf>
    <xf numFmtId="0" fontId="23" fillId="3" borderId="0" xfId="0" applyFont="1" applyFill="1" applyBorder="1" applyAlignment="1">
      <alignment horizontal="center" vertical="center"/>
    </xf>
    <xf numFmtId="4" fontId="23" fillId="0" borderId="0" xfId="0" applyNumberFormat="1" applyFont="1" applyFill="1" applyBorder="1" applyAlignment="1">
      <alignment horizontal="center" vertical="center"/>
    </xf>
    <xf numFmtId="0" fontId="49" fillId="0" borderId="0" xfId="0" applyFont="1" applyAlignment="1">
      <alignment wrapText="1"/>
    </xf>
    <xf numFmtId="0" fontId="23"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4" fontId="23" fillId="0" borderId="0" xfId="0" applyNumberFormat="1" applyFont="1" applyFill="1" applyBorder="1" applyAlignment="1">
      <alignment horizontal="right" vertical="center" wrapText="1"/>
    </xf>
    <xf numFmtId="0" fontId="23" fillId="0" borderId="0" xfId="0" applyFont="1" applyFill="1" applyBorder="1" applyAlignment="1">
      <alignment horizontal="center" vertical="center" wrapText="1"/>
    </xf>
    <xf numFmtId="0" fontId="23" fillId="0" borderId="4" xfId="0" applyFont="1" applyFill="1" applyBorder="1" applyAlignment="1">
      <alignment horizontal="left" vertical="top" wrapText="1"/>
    </xf>
    <xf numFmtId="0" fontId="23" fillId="0" borderId="4" xfId="0" applyFont="1" applyFill="1" applyBorder="1" applyAlignment="1">
      <alignment horizontal="center" vertical="center" wrapText="1"/>
    </xf>
    <xf numFmtId="0" fontId="23" fillId="3" borderId="4" xfId="0" applyFont="1" applyFill="1" applyBorder="1" applyAlignment="1">
      <alignment horizontal="center" vertical="center"/>
    </xf>
    <xf numFmtId="4" fontId="23" fillId="0" borderId="4" xfId="0" applyNumberFormat="1" applyFont="1" applyFill="1" applyBorder="1" applyAlignment="1">
      <alignment horizontal="right" vertical="center"/>
    </xf>
    <xf numFmtId="4" fontId="27" fillId="17" borderId="0" xfId="0" applyNumberFormat="1" applyFont="1" applyFill="1" applyBorder="1" applyAlignment="1">
      <alignment horizontal="center" vertical="center"/>
    </xf>
    <xf numFmtId="4" fontId="27" fillId="0" borderId="0" xfId="0" applyNumberFormat="1" applyFont="1" applyFill="1" applyBorder="1" applyAlignment="1">
      <alignment horizontal="right"/>
    </xf>
    <xf numFmtId="4" fontId="27" fillId="0" borderId="0" xfId="0" applyNumberFormat="1" applyFont="1" applyFill="1" applyBorder="1" applyAlignment="1">
      <alignment horizontal="center" vertical="center"/>
    </xf>
    <xf numFmtId="49" fontId="27" fillId="0" borderId="0" xfId="0" applyNumberFormat="1" applyFont="1" applyBorder="1" applyAlignment="1">
      <alignment horizontal="center" vertical="top"/>
    </xf>
    <xf numFmtId="49" fontId="23" fillId="0" borderId="0" xfId="0" applyNumberFormat="1" applyFont="1" applyFill="1" applyBorder="1" applyAlignment="1">
      <alignment horizontal="center"/>
    </xf>
    <xf numFmtId="4" fontId="23" fillId="0" borderId="0" xfId="0" applyNumberFormat="1" applyFont="1" applyBorder="1" applyAlignment="1">
      <alignment horizontal="right" vertical="center" wrapText="1"/>
    </xf>
    <xf numFmtId="4" fontId="23" fillId="0" borderId="0" xfId="0" applyNumberFormat="1" applyFont="1" applyBorder="1" applyAlignment="1">
      <alignment horizontal="right" wrapText="1"/>
    </xf>
    <xf numFmtId="0" fontId="23" fillId="3" borderId="0" xfId="0" applyFont="1" applyFill="1" applyBorder="1" applyAlignment="1">
      <alignment horizontal="right"/>
    </xf>
    <xf numFmtId="4" fontId="23" fillId="0" borderId="0" xfId="0" applyNumberFormat="1" applyFont="1" applyFill="1" applyBorder="1" applyAlignment="1">
      <alignment horizontal="right"/>
    </xf>
    <xf numFmtId="0" fontId="23" fillId="3" borderId="0" xfId="0" applyFont="1" applyFill="1" applyBorder="1" applyAlignment="1"/>
    <xf numFmtId="4" fontId="23" fillId="0" borderId="0" xfId="0" applyNumberFormat="1" applyFont="1" applyFill="1" applyBorder="1" applyAlignment="1"/>
    <xf numFmtId="0" fontId="23" fillId="0" borderId="4" xfId="0" applyFont="1" applyBorder="1" applyAlignment="1">
      <alignment horizontal="left" vertical="top" wrapText="1"/>
    </xf>
    <xf numFmtId="4" fontId="23" fillId="0" borderId="4" xfId="0" applyNumberFormat="1" applyFont="1" applyBorder="1" applyAlignment="1">
      <alignment horizontal="right" vertical="center" wrapText="1"/>
    </xf>
    <xf numFmtId="0" fontId="23" fillId="3" borderId="4" xfId="0" applyFont="1" applyFill="1" applyBorder="1"/>
    <xf numFmtId="4" fontId="23" fillId="0" borderId="4" xfId="0" applyNumberFormat="1" applyFont="1" applyFill="1" applyBorder="1"/>
    <xf numFmtId="4" fontId="27" fillId="0" borderId="0" xfId="0" applyNumberFormat="1" applyFont="1" applyFill="1" applyBorder="1"/>
    <xf numFmtId="49" fontId="27" fillId="0" borderId="0" xfId="0" applyNumberFormat="1" applyFont="1" applyFill="1" applyBorder="1" applyAlignment="1">
      <alignment horizontal="center" vertical="top"/>
    </xf>
    <xf numFmtId="49" fontId="23" fillId="0" borderId="4" xfId="0" applyNumberFormat="1" applyFont="1" applyFill="1" applyBorder="1" applyAlignment="1">
      <alignment horizontal="center"/>
    </xf>
    <xf numFmtId="49" fontId="27" fillId="0" borderId="0" xfId="0" applyNumberFormat="1" applyFont="1" applyFill="1" applyBorder="1" applyAlignment="1">
      <alignment horizontal="center" vertical="center"/>
    </xf>
    <xf numFmtId="49" fontId="23" fillId="0" borderId="0" xfId="0" applyNumberFormat="1" applyFont="1" applyFill="1" applyBorder="1" applyAlignment="1">
      <alignment horizontal="center" vertical="top"/>
    </xf>
    <xf numFmtId="0" fontId="27" fillId="0" borderId="0" xfId="0" applyFont="1" applyBorder="1" applyAlignment="1">
      <alignment horizontal="center" vertical="center" wrapText="1"/>
    </xf>
    <xf numFmtId="0" fontId="49" fillId="0" borderId="0" xfId="0" applyFont="1" applyBorder="1"/>
    <xf numFmtId="4" fontId="23" fillId="0" borderId="0" xfId="0" applyNumberFormat="1" applyFont="1" applyFill="1" applyBorder="1" applyAlignment="1">
      <alignment horizontal="left" vertical="top" wrapText="1"/>
    </xf>
    <xf numFmtId="4" fontId="23" fillId="0" borderId="0" xfId="0" applyNumberFormat="1" applyFont="1" applyFill="1" applyBorder="1" applyAlignment="1">
      <alignment horizontal="left" vertical="top"/>
    </xf>
    <xf numFmtId="4" fontId="23" fillId="0" borderId="2" xfId="0" applyNumberFormat="1" applyFont="1" applyFill="1" applyBorder="1" applyAlignment="1">
      <alignment horizontal="left" vertical="top" wrapText="1"/>
    </xf>
    <xf numFmtId="4" fontId="23" fillId="0" borderId="2" xfId="0" applyNumberFormat="1" applyFont="1" applyFill="1" applyBorder="1" applyAlignment="1">
      <alignment horizontal="center"/>
    </xf>
    <xf numFmtId="4" fontId="23" fillId="0" borderId="2" xfId="0" applyNumberFormat="1" applyFont="1" applyFill="1" applyBorder="1" applyAlignment="1">
      <alignment horizontal="right"/>
    </xf>
    <xf numFmtId="0" fontId="23" fillId="3" borderId="2" xfId="0" applyFont="1" applyFill="1" applyBorder="1"/>
    <xf numFmtId="4" fontId="23" fillId="0" borderId="2" xfId="0" applyNumberFormat="1" applyFont="1" applyFill="1" applyBorder="1"/>
    <xf numFmtId="4" fontId="23" fillId="0" borderId="0" xfId="0" applyNumberFormat="1" applyFont="1" applyFill="1" applyBorder="1" applyAlignment="1">
      <alignment horizontal="right" vertical="top"/>
    </xf>
    <xf numFmtId="4" fontId="23" fillId="0" borderId="0" xfId="0" applyNumberFormat="1" applyFont="1" applyFill="1" applyBorder="1" applyAlignment="1">
      <alignment vertical="top"/>
    </xf>
    <xf numFmtId="0" fontId="27" fillId="0" borderId="0" xfId="0" applyFont="1" applyBorder="1" applyAlignment="1">
      <alignment horizontal="left" vertical="center" wrapText="1"/>
    </xf>
    <xf numFmtId="49" fontId="52" fillId="0" borderId="0" xfId="0" applyNumberFormat="1" applyFont="1" applyFill="1" applyBorder="1" applyAlignment="1">
      <alignment horizontal="center" vertical="center"/>
    </xf>
    <xf numFmtId="0" fontId="23" fillId="0" borderId="0" xfId="0" applyFont="1" applyFill="1" applyBorder="1"/>
    <xf numFmtId="0" fontId="23" fillId="0" borderId="0" xfId="0" applyFont="1" applyFill="1" applyBorder="1" applyAlignment="1">
      <alignment horizontal="right" vertical="center" indent="1"/>
    </xf>
    <xf numFmtId="0" fontId="23" fillId="0" borderId="4" xfId="0" applyFont="1" applyFill="1" applyBorder="1" applyAlignment="1">
      <alignment horizontal="right" vertical="center" indent="1"/>
    </xf>
    <xf numFmtId="4" fontId="23" fillId="0" borderId="4" xfId="0" applyNumberFormat="1" applyFont="1" applyFill="1" applyBorder="1" applyAlignment="1">
      <alignment horizontal="right" vertical="top"/>
    </xf>
    <xf numFmtId="4" fontId="23" fillId="0" borderId="4" xfId="0" applyNumberFormat="1" applyFont="1" applyFill="1" applyBorder="1" applyAlignment="1">
      <alignment vertical="top"/>
    </xf>
    <xf numFmtId="4" fontId="27" fillId="0" borderId="0" xfId="0" applyNumberFormat="1" applyFont="1" applyFill="1" applyBorder="1" applyAlignment="1">
      <alignment vertical="top"/>
    </xf>
    <xf numFmtId="0" fontId="23" fillId="0" borderId="0" xfId="0" applyNumberFormat="1" applyFont="1" applyFill="1" applyBorder="1" applyAlignment="1">
      <alignment horizontal="right" vertical="center" indent="1"/>
    </xf>
    <xf numFmtId="0" fontId="23" fillId="0" borderId="0" xfId="0" applyFont="1" applyBorder="1" applyAlignment="1">
      <alignment horizontal="left" vertical="center"/>
    </xf>
    <xf numFmtId="0" fontId="23" fillId="0" borderId="4" xfId="0" applyFont="1" applyBorder="1" applyAlignment="1">
      <alignment horizontal="left" vertical="center"/>
    </xf>
    <xf numFmtId="0" fontId="23" fillId="0" borderId="4" xfId="0" applyNumberFormat="1" applyFont="1" applyFill="1" applyBorder="1" applyAlignment="1">
      <alignment horizontal="right" vertical="center" indent="1"/>
    </xf>
    <xf numFmtId="0" fontId="27" fillId="0" borderId="0" xfId="0" applyFont="1" applyFill="1" applyBorder="1" applyAlignment="1">
      <alignment horizontal="left" vertical="center" wrapText="1"/>
    </xf>
    <xf numFmtId="0" fontId="49" fillId="0" borderId="0" xfId="0" applyFont="1" applyAlignment="1">
      <alignment horizontal="left" vertical="top"/>
    </xf>
    <xf numFmtId="4" fontId="23" fillId="3" borderId="0" xfId="0" applyNumberFormat="1" applyFont="1" applyFill="1" applyBorder="1"/>
    <xf numFmtId="4" fontId="23" fillId="3" borderId="4" xfId="0" applyNumberFormat="1" applyFont="1" applyFill="1" applyBorder="1"/>
    <xf numFmtId="49" fontId="27" fillId="0" borderId="0" xfId="0" applyNumberFormat="1" applyFont="1" applyBorder="1" applyAlignment="1">
      <alignment horizontal="left" vertical="top" wrapText="1"/>
    </xf>
    <xf numFmtId="49" fontId="23" fillId="0" borderId="0" xfId="0" applyNumberFormat="1" applyFont="1" applyBorder="1" applyAlignment="1">
      <alignment horizontal="left" vertical="top" wrapText="1"/>
    </xf>
    <xf numFmtId="4" fontId="23" fillId="0" borderId="4" xfId="0" applyNumberFormat="1" applyFont="1" applyFill="1" applyBorder="1" applyAlignment="1">
      <alignment horizontal="center"/>
    </xf>
    <xf numFmtId="4" fontId="23" fillId="0" borderId="0" xfId="0" applyNumberFormat="1" applyFont="1" applyBorder="1" applyAlignment="1">
      <alignment horizontal="left" vertical="top" wrapText="1"/>
    </xf>
    <xf numFmtId="0" fontId="23" fillId="0" borderId="0" xfId="0" applyFont="1" applyBorder="1" applyAlignment="1">
      <alignment horizontal="left" vertical="top" wrapText="1" readingOrder="1"/>
    </xf>
    <xf numFmtId="0" fontId="23" fillId="0" borderId="0" xfId="0" applyFont="1" applyBorder="1" applyAlignment="1">
      <alignment horizontal="left" wrapText="1"/>
    </xf>
    <xf numFmtId="0" fontId="23" fillId="0" borderId="4" xfId="0" applyFont="1" applyBorder="1" applyAlignment="1">
      <alignment horizontal="center" wrapText="1"/>
    </xf>
    <xf numFmtId="4" fontId="23" fillId="0" borderId="4" xfId="0" applyNumberFormat="1" applyFont="1" applyBorder="1" applyAlignment="1">
      <alignment horizontal="right" wrapText="1"/>
    </xf>
    <xf numFmtId="0" fontId="23" fillId="0" borderId="0" xfId="0" applyFont="1" applyBorder="1"/>
    <xf numFmtId="4" fontId="23" fillId="0" borderId="0" xfId="0" applyNumberFormat="1" applyFont="1" applyFill="1" applyAlignment="1">
      <alignment horizontal="right" vertical="center"/>
    </xf>
    <xf numFmtId="0" fontId="23" fillId="3" borderId="0" xfId="0" applyFont="1" applyFill="1"/>
    <xf numFmtId="4" fontId="23" fillId="0" borderId="0" xfId="0" applyNumberFormat="1" applyFont="1" applyFill="1"/>
    <xf numFmtId="49" fontId="23" fillId="0" borderId="0" xfId="0" applyNumberFormat="1" applyFont="1" applyAlignment="1">
      <alignment horizontal="left" vertical="center"/>
    </xf>
    <xf numFmtId="49" fontId="23" fillId="0" borderId="2" xfId="0" applyNumberFormat="1" applyFont="1" applyBorder="1" applyAlignment="1">
      <alignment horizontal="left" vertical="center"/>
    </xf>
    <xf numFmtId="49" fontId="23" fillId="0" borderId="9" xfId="0" applyNumberFormat="1" applyFont="1" applyBorder="1" applyAlignment="1">
      <alignment horizontal="left" vertical="center"/>
    </xf>
    <xf numFmtId="0" fontId="23" fillId="3" borderId="9" xfId="0" applyFont="1" applyFill="1" applyBorder="1"/>
    <xf numFmtId="4" fontId="23" fillId="0" borderId="9" xfId="0" applyNumberFormat="1" applyFont="1" applyFill="1" applyBorder="1"/>
    <xf numFmtId="49" fontId="23" fillId="0" borderId="3" xfId="0" applyNumberFormat="1" applyFont="1" applyBorder="1" applyAlignment="1">
      <alignment horizontal="left" vertical="center"/>
    </xf>
    <xf numFmtId="49" fontId="23" fillId="0" borderId="3" xfId="0" applyNumberFormat="1" applyFont="1" applyFill="1" applyBorder="1" applyAlignment="1">
      <alignment horizontal="center"/>
    </xf>
    <xf numFmtId="4" fontId="23" fillId="0" borderId="3" xfId="0" applyNumberFormat="1" applyFont="1" applyFill="1" applyBorder="1" applyAlignment="1">
      <alignment horizontal="right" vertical="center"/>
    </xf>
    <xf numFmtId="0" fontId="23" fillId="3" borderId="3" xfId="0" applyFont="1" applyFill="1" applyBorder="1"/>
    <xf numFmtId="4" fontId="23" fillId="0" borderId="3" xfId="0" applyNumberFormat="1" applyFont="1" applyFill="1" applyBorder="1"/>
    <xf numFmtId="49" fontId="23" fillId="0" borderId="0" xfId="0" applyNumberFormat="1" applyFont="1" applyBorder="1" applyAlignment="1">
      <alignment horizontal="left" vertical="center"/>
    </xf>
    <xf numFmtId="4" fontId="27" fillId="0" borderId="0" xfId="0" applyNumberFormat="1" applyFont="1" applyFill="1"/>
    <xf numFmtId="4" fontId="49" fillId="0" borderId="0" xfId="0" applyNumberFormat="1" applyFont="1" applyAlignment="1">
      <alignment horizontal="center" vertical="top"/>
    </xf>
    <xf numFmtId="49" fontId="49" fillId="0" borderId="0" xfId="0" applyNumberFormat="1" applyFont="1" applyAlignment="1">
      <alignment horizontal="center" vertical="top"/>
    </xf>
    <xf numFmtId="49" fontId="49" fillId="0" borderId="0" xfId="0" applyNumberFormat="1" applyFont="1" applyFill="1" applyBorder="1" applyAlignment="1">
      <alignment horizontal="center"/>
    </xf>
    <xf numFmtId="4" fontId="49" fillId="0" borderId="0" xfId="0" applyNumberFormat="1" applyFont="1" applyFill="1" applyAlignment="1">
      <alignment horizontal="right" vertical="center"/>
    </xf>
    <xf numFmtId="0" fontId="49" fillId="3" borderId="0" xfId="0" applyFont="1" applyFill="1"/>
    <xf numFmtId="4" fontId="49" fillId="0" borderId="0" xfId="0" applyNumberFormat="1" applyFont="1" applyFill="1"/>
    <xf numFmtId="0" fontId="49" fillId="0" borderId="0" xfId="0" applyNumberFormat="1" applyFont="1" applyAlignment="1">
      <alignment horizontal="center" vertical="top"/>
    </xf>
    <xf numFmtId="4" fontId="27" fillId="17" borderId="0" xfId="0" applyNumberFormat="1" applyFont="1" applyFill="1" applyBorder="1"/>
    <xf numFmtId="4" fontId="27" fillId="17" borderId="0" xfId="0" applyNumberFormat="1" applyFont="1" applyFill="1" applyBorder="1" applyAlignment="1">
      <alignment vertical="top"/>
    </xf>
    <xf numFmtId="4" fontId="27" fillId="17" borderId="0" xfId="0" applyNumberFormat="1" applyFont="1" applyFill="1" applyBorder="1" applyAlignment="1">
      <alignment horizontal="right"/>
    </xf>
    <xf numFmtId="4" fontId="34" fillId="17" borderId="86" xfId="0" applyNumberFormat="1" applyFont="1" applyFill="1" applyBorder="1" applyAlignment="1">
      <alignment horizontal="right"/>
    </xf>
    <xf numFmtId="4" fontId="34" fillId="17" borderId="89" xfId="0" applyNumberFormat="1" applyFont="1" applyFill="1" applyBorder="1"/>
    <xf numFmtId="1" fontId="23" fillId="0" borderId="49" xfId="0" applyNumberFormat="1" applyFont="1" applyFill="1" applyBorder="1" applyAlignment="1" applyProtection="1">
      <alignment horizontal="left" vertical="center" wrapText="1"/>
      <protection locked="0"/>
    </xf>
    <xf numFmtId="0" fontId="23" fillId="0" borderId="58" xfId="0" applyFont="1" applyFill="1" applyBorder="1" applyAlignment="1">
      <alignment horizontal="center" vertical="center"/>
    </xf>
    <xf numFmtId="0" fontId="23" fillId="0" borderId="88" xfId="0" applyFont="1" applyBorder="1" applyAlignment="1">
      <alignment horizontal="center"/>
    </xf>
    <xf numFmtId="0" fontId="23" fillId="0" borderId="88" xfId="0" applyFont="1" applyBorder="1" applyAlignment="1">
      <alignment wrapText="1"/>
    </xf>
    <xf numFmtId="0" fontId="23" fillId="0" borderId="88" xfId="0" applyFont="1" applyBorder="1"/>
    <xf numFmtId="0" fontId="53" fillId="0" borderId="0" xfId="0" applyFont="1" applyAlignment="1">
      <alignment vertical="center"/>
    </xf>
    <xf numFmtId="0" fontId="18" fillId="0" borderId="0" xfId="0" applyFont="1" applyAlignment="1">
      <alignment vertical="center"/>
    </xf>
    <xf numFmtId="0" fontId="53" fillId="0" borderId="0" xfId="0" applyFont="1" applyAlignment="1">
      <alignment vertical="center" wrapText="1"/>
    </xf>
    <xf numFmtId="0" fontId="23" fillId="0" borderId="65" xfId="0" applyFont="1" applyFill="1" applyBorder="1" applyAlignment="1">
      <alignment horizontal="center" vertical="center"/>
    </xf>
    <xf numFmtId="0" fontId="23" fillId="0" borderId="10" xfId="0" applyFont="1" applyFill="1" applyBorder="1" applyAlignment="1">
      <alignment horizontal="center"/>
    </xf>
    <xf numFmtId="0" fontId="23" fillId="0" borderId="68" xfId="0" applyFont="1" applyFill="1" applyBorder="1"/>
    <xf numFmtId="0" fontId="23" fillId="0" borderId="9" xfId="0" applyFont="1" applyFill="1" applyBorder="1" applyAlignment="1">
      <alignment horizontal="center"/>
    </xf>
    <xf numFmtId="4" fontId="23" fillId="0" borderId="65" xfId="0" applyNumberFormat="1" applyFont="1" applyFill="1" applyBorder="1" applyAlignment="1"/>
    <xf numFmtId="0" fontId="27" fillId="0" borderId="10" xfId="0" applyFont="1" applyFill="1" applyBorder="1" applyAlignment="1">
      <alignment horizontal="right"/>
    </xf>
    <xf numFmtId="4" fontId="27" fillId="0" borderId="50" xfId="0" applyNumberFormat="1" applyFont="1" applyFill="1" applyBorder="1" applyAlignment="1">
      <alignment horizontal="right"/>
    </xf>
    <xf numFmtId="0" fontId="27" fillId="0" borderId="36" xfId="0" applyFont="1" applyFill="1" applyBorder="1" applyAlignment="1">
      <alignment horizontal="right"/>
    </xf>
    <xf numFmtId="4" fontId="27" fillId="0" borderId="57" xfId="0" applyNumberFormat="1" applyFont="1" applyFill="1" applyBorder="1" applyAlignment="1">
      <alignment horizontal="right" wrapText="1"/>
    </xf>
    <xf numFmtId="0" fontId="27" fillId="7" borderId="9" xfId="0" applyNumberFormat="1" applyFont="1" applyFill="1" applyBorder="1" applyAlignment="1">
      <alignment horizontal="right" vertical="center" wrapText="1"/>
    </xf>
    <xf numFmtId="4" fontId="27" fillId="7" borderId="59" xfId="0" applyNumberFormat="1" applyFont="1" applyFill="1" applyBorder="1" applyAlignment="1">
      <alignment horizontal="right" vertical="center" wrapText="1"/>
    </xf>
    <xf numFmtId="4" fontId="23" fillId="0" borderId="31" xfId="13" applyNumberFormat="1" applyFont="1" applyFill="1" applyBorder="1" applyAlignment="1">
      <alignment horizontal="right"/>
    </xf>
    <xf numFmtId="4" fontId="23" fillId="0" borderId="60" xfId="13" applyNumberFormat="1" applyFont="1" applyFill="1" applyBorder="1" applyAlignment="1">
      <alignment horizontal="right"/>
    </xf>
    <xf numFmtId="4" fontId="23" fillId="0" borderId="31" xfId="7" applyNumberFormat="1" applyFont="1" applyFill="1" applyBorder="1" applyAlignment="1">
      <alignment horizontal="right"/>
    </xf>
    <xf numFmtId="4" fontId="23" fillId="0" borderId="60" xfId="0" applyNumberFormat="1" applyFont="1" applyBorder="1" applyAlignment="1">
      <alignment horizontal="right"/>
    </xf>
    <xf numFmtId="4" fontId="23" fillId="0" borderId="31" xfId="0" applyNumberFormat="1" applyFont="1" applyBorder="1" applyAlignment="1">
      <alignment horizontal="right"/>
    </xf>
    <xf numFmtId="0" fontId="23" fillId="0" borderId="31" xfId="13" applyFont="1" applyBorder="1" applyAlignment="1">
      <alignment horizontal="right"/>
    </xf>
    <xf numFmtId="4" fontId="23" fillId="0" borderId="51" xfId="0" applyNumberFormat="1" applyFont="1" applyFill="1" applyBorder="1" applyAlignment="1">
      <alignment horizontal="right" wrapText="1"/>
    </xf>
    <xf numFmtId="4" fontId="23" fillId="0" borderId="62" xfId="13" applyNumberFormat="1" applyFont="1" applyFill="1" applyBorder="1" applyAlignment="1">
      <alignment horizontal="right"/>
    </xf>
    <xf numFmtId="4" fontId="27" fillId="7" borderId="2" xfId="0" applyNumberFormat="1" applyFont="1" applyFill="1" applyBorder="1" applyAlignment="1">
      <alignment horizontal="right"/>
    </xf>
    <xf numFmtId="4" fontId="27" fillId="7" borderId="56" xfId="0" applyNumberFormat="1" applyFont="1" applyFill="1" applyBorder="1" applyAlignment="1">
      <alignment horizontal="right"/>
    </xf>
    <xf numFmtId="0" fontId="23" fillId="0" borderId="9" xfId="13" applyFont="1" applyFill="1" applyBorder="1" applyAlignment="1">
      <alignment horizontal="right" vertical="top"/>
    </xf>
    <xf numFmtId="4" fontId="27" fillId="0" borderId="32" xfId="13" applyNumberFormat="1" applyFont="1" applyFill="1" applyBorder="1" applyAlignment="1">
      <alignment horizontal="right"/>
    </xf>
    <xf numFmtId="4" fontId="27" fillId="7" borderId="9" xfId="0" applyNumberFormat="1" applyFont="1" applyFill="1" applyBorder="1" applyAlignment="1">
      <alignment horizontal="right"/>
    </xf>
    <xf numFmtId="4" fontId="27" fillId="7" borderId="32" xfId="0" applyNumberFormat="1" applyFont="1" applyFill="1" applyBorder="1" applyAlignment="1">
      <alignment horizontal="right"/>
    </xf>
    <xf numFmtId="4" fontId="27" fillId="0" borderId="64" xfId="0" applyNumberFormat="1" applyFont="1" applyFill="1" applyBorder="1" applyAlignment="1">
      <alignment horizontal="right"/>
    </xf>
    <xf numFmtId="4" fontId="27" fillId="0" borderId="61" xfId="0" applyNumberFormat="1" applyFont="1" applyFill="1" applyBorder="1" applyAlignment="1">
      <alignment horizontal="right" wrapText="1"/>
    </xf>
    <xf numFmtId="0" fontId="23" fillId="0" borderId="88" xfId="0" applyFont="1" applyFill="1" applyBorder="1" applyAlignment="1">
      <alignment horizontal="right" vertical="top" wrapText="1"/>
    </xf>
    <xf numFmtId="4" fontId="23" fillId="0" borderId="88" xfId="0" applyNumberFormat="1" applyFont="1" applyFill="1" applyBorder="1" applyAlignment="1">
      <alignment horizontal="right"/>
    </xf>
    <xf numFmtId="4" fontId="23" fillId="0" borderId="66" xfId="0" applyNumberFormat="1" applyFont="1" applyBorder="1" applyAlignment="1">
      <alignment horizontal="right"/>
    </xf>
    <xf numFmtId="4" fontId="23" fillId="0" borderId="88" xfId="0" applyNumberFormat="1" applyFont="1" applyFill="1" applyBorder="1" applyAlignment="1">
      <alignment horizontal="right" wrapText="1"/>
    </xf>
    <xf numFmtId="4" fontId="23" fillId="0" borderId="66" xfId="4" applyNumberFormat="1" applyFont="1" applyFill="1" applyBorder="1" applyAlignment="1">
      <alignment horizontal="right" wrapText="1"/>
    </xf>
    <xf numFmtId="4" fontId="23" fillId="0" borderId="66" xfId="0" applyNumberFormat="1" applyFont="1" applyFill="1" applyBorder="1" applyAlignment="1">
      <alignment horizontal="right"/>
    </xf>
    <xf numFmtId="0" fontId="23" fillId="0" borderId="88" xfId="0" applyFont="1" applyFill="1" applyBorder="1" applyAlignment="1">
      <alignment horizontal="right" vertical="center"/>
    </xf>
    <xf numFmtId="0" fontId="23" fillId="0" borderId="88" xfId="0" applyNumberFormat="1" applyFont="1" applyFill="1" applyBorder="1" applyAlignment="1">
      <alignment horizontal="right" vertical="center" wrapText="1"/>
    </xf>
    <xf numFmtId="4" fontId="23" fillId="0" borderId="66" xfId="0" applyNumberFormat="1" applyFont="1" applyFill="1" applyBorder="1" applyAlignment="1">
      <alignment horizontal="right" wrapText="1"/>
    </xf>
    <xf numFmtId="4" fontId="23" fillId="0" borderId="66" xfId="0" applyNumberFormat="1" applyFont="1" applyFill="1" applyBorder="1" applyAlignment="1">
      <alignment horizontal="right" vertical="center"/>
    </xf>
    <xf numFmtId="4" fontId="23" fillId="0" borderId="67" xfId="0" applyNumberFormat="1" applyFont="1" applyFill="1" applyBorder="1" applyAlignment="1">
      <alignment horizontal="right"/>
    </xf>
    <xf numFmtId="4" fontId="23" fillId="0" borderId="9" xfId="0" applyNumberFormat="1" applyFont="1" applyFill="1" applyBorder="1" applyAlignment="1">
      <alignment horizontal="right"/>
    </xf>
    <xf numFmtId="4" fontId="23" fillId="0" borderId="32" xfId="0" applyNumberFormat="1" applyFont="1" applyFill="1" applyBorder="1" applyAlignment="1">
      <alignment horizontal="right" wrapText="1"/>
    </xf>
    <xf numFmtId="4" fontId="45" fillId="6" borderId="32" xfId="0" applyNumberFormat="1" applyFont="1" applyFill="1" applyBorder="1" applyAlignment="1">
      <alignment horizontal="right" wrapText="1"/>
    </xf>
    <xf numFmtId="4" fontId="23" fillId="7" borderId="9" xfId="0" applyNumberFormat="1" applyFont="1" applyFill="1" applyBorder="1" applyAlignment="1">
      <alignment horizontal="right"/>
    </xf>
    <xf numFmtId="4" fontId="23" fillId="7" borderId="32" xfId="0" applyNumberFormat="1" applyFont="1" applyFill="1" applyBorder="1" applyAlignment="1">
      <alignment horizontal="right"/>
    </xf>
    <xf numFmtId="4" fontId="23" fillId="0" borderId="64" xfId="0" applyNumberFormat="1" applyFont="1" applyFill="1" applyBorder="1" applyAlignment="1">
      <alignment horizontal="right"/>
    </xf>
    <xf numFmtId="4" fontId="23" fillId="0" borderId="61" xfId="0" applyNumberFormat="1" applyFont="1" applyFill="1" applyBorder="1" applyAlignment="1">
      <alignment horizontal="right"/>
    </xf>
    <xf numFmtId="4" fontId="23" fillId="0" borderId="88" xfId="0" applyNumberFormat="1" applyFont="1" applyBorder="1" applyAlignment="1">
      <alignment horizontal="right" vertical="center" wrapText="1"/>
    </xf>
    <xf numFmtId="4" fontId="29" fillId="0" borderId="88" xfId="0" applyNumberFormat="1" applyFont="1" applyBorder="1" applyAlignment="1">
      <alignment horizontal="right" vertical="center"/>
    </xf>
    <xf numFmtId="4" fontId="45" fillId="6" borderId="51" xfId="0" applyNumberFormat="1" applyFont="1" applyFill="1" applyBorder="1" applyAlignment="1">
      <alignment horizontal="right"/>
    </xf>
    <xf numFmtId="4" fontId="23" fillId="0" borderId="88" xfId="5" applyNumberFormat="1" applyFont="1" applyFill="1" applyBorder="1" applyAlignment="1">
      <alignment horizontal="right"/>
    </xf>
    <xf numFmtId="0" fontId="23" fillId="0" borderId="88" xfId="0" applyNumberFormat="1" applyFont="1" applyFill="1" applyBorder="1" applyAlignment="1">
      <alignment horizontal="right" vertical="top" wrapText="1"/>
    </xf>
    <xf numFmtId="4" fontId="45" fillId="6" borderId="51" xfId="4" applyNumberFormat="1" applyFont="1" applyFill="1" applyBorder="1" applyAlignment="1">
      <alignment horizontal="right" wrapText="1"/>
    </xf>
    <xf numFmtId="0" fontId="23" fillId="7" borderId="2" xfId="0" applyFont="1" applyFill="1" applyBorder="1" applyAlignment="1">
      <alignment horizontal="right" vertical="top"/>
    </xf>
    <xf numFmtId="4" fontId="23" fillId="7" borderId="56" xfId="0" applyNumberFormat="1" applyFont="1" applyFill="1" applyBorder="1" applyAlignment="1">
      <alignment horizontal="right" vertical="top"/>
    </xf>
    <xf numFmtId="0" fontId="23" fillId="0" borderId="0" xfId="0" applyFont="1" applyFill="1" applyBorder="1" applyAlignment="1">
      <alignment horizontal="right"/>
    </xf>
    <xf numFmtId="0" fontId="23" fillId="0" borderId="0" xfId="0" applyFont="1" applyFill="1" applyBorder="1" applyAlignment="1">
      <alignment horizontal="right" vertical="top"/>
    </xf>
    <xf numFmtId="4" fontId="23" fillId="0" borderId="69" xfId="0" applyNumberFormat="1" applyFont="1" applyFill="1" applyBorder="1" applyAlignment="1">
      <alignment horizontal="right" vertical="top"/>
    </xf>
    <xf numFmtId="0" fontId="23" fillId="7" borderId="9" xfId="0" applyNumberFormat="1" applyFont="1" applyFill="1" applyBorder="1" applyAlignment="1">
      <alignment horizontal="right" vertical="top" wrapText="1"/>
    </xf>
    <xf numFmtId="4" fontId="23" fillId="7" borderId="32" xfId="0" applyNumberFormat="1" applyFont="1" applyFill="1" applyBorder="1" applyAlignment="1">
      <alignment horizontal="right" vertical="top" wrapText="1"/>
    </xf>
    <xf numFmtId="4" fontId="23" fillId="0" borderId="69" xfId="0" applyNumberFormat="1" applyFont="1" applyFill="1" applyBorder="1" applyAlignment="1">
      <alignment horizontal="right"/>
    </xf>
    <xf numFmtId="0" fontId="23" fillId="0" borderId="64" xfId="0" applyFont="1" applyFill="1" applyBorder="1" applyAlignment="1">
      <alignment horizontal="right" vertical="top" wrapText="1"/>
    </xf>
    <xf numFmtId="4" fontId="23" fillId="0" borderId="61" xfId="0" applyNumberFormat="1" applyFont="1" applyFill="1" applyBorder="1" applyAlignment="1">
      <alignment horizontal="right" vertical="top" wrapText="1"/>
    </xf>
    <xf numFmtId="4" fontId="23" fillId="0" borderId="66" xfId="0" applyNumberFormat="1" applyFont="1" applyFill="1" applyBorder="1" applyAlignment="1">
      <alignment horizontal="right" vertical="top" wrapText="1"/>
    </xf>
    <xf numFmtId="0" fontId="23" fillId="0" borderId="67" xfId="0" applyFont="1" applyFill="1" applyBorder="1" applyAlignment="1">
      <alignment horizontal="right" vertical="top" wrapText="1"/>
    </xf>
    <xf numFmtId="4" fontId="45" fillId="6" borderId="51" xfId="0" applyNumberFormat="1" applyFont="1" applyFill="1" applyBorder="1" applyAlignment="1">
      <alignment horizontal="right" vertical="top" wrapText="1"/>
    </xf>
    <xf numFmtId="4" fontId="23" fillId="0" borderId="51" xfId="0" applyNumberFormat="1" applyFont="1" applyFill="1" applyBorder="1" applyAlignment="1">
      <alignment horizontal="right" vertical="top" wrapText="1"/>
    </xf>
    <xf numFmtId="4" fontId="23" fillId="0" borderId="0" xfId="0" applyNumberFormat="1" applyFont="1" applyFill="1" applyAlignment="1">
      <alignment horizontal="right"/>
    </xf>
    <xf numFmtId="4" fontId="27" fillId="12" borderId="9" xfId="0" applyNumberFormat="1" applyFont="1" applyFill="1" applyBorder="1" applyAlignment="1">
      <alignment horizontal="right"/>
    </xf>
    <xf numFmtId="4" fontId="27" fillId="12" borderId="32" xfId="0" applyNumberFormat="1" applyFont="1" applyFill="1" applyBorder="1" applyAlignment="1">
      <alignment horizontal="right"/>
    </xf>
    <xf numFmtId="4" fontId="27" fillId="0" borderId="9" xfId="0" applyNumberFormat="1" applyFont="1" applyFill="1" applyBorder="1" applyAlignment="1">
      <alignment horizontal="right"/>
    </xf>
    <xf numFmtId="4" fontId="27" fillId="0" borderId="32" xfId="0" applyNumberFormat="1" applyFont="1" applyFill="1" applyBorder="1" applyAlignment="1">
      <alignment horizontal="right"/>
    </xf>
    <xf numFmtId="4" fontId="27" fillId="0" borderId="2" xfId="0" applyNumberFormat="1" applyFont="1" applyFill="1" applyBorder="1" applyAlignment="1">
      <alignment horizontal="right"/>
    </xf>
    <xf numFmtId="4" fontId="27" fillId="0" borderId="56" xfId="0" applyNumberFormat="1" applyFont="1" applyFill="1" applyBorder="1" applyAlignment="1">
      <alignment horizontal="right"/>
    </xf>
    <xf numFmtId="4" fontId="27" fillId="6" borderId="32" xfId="0" applyNumberFormat="1" applyFont="1" applyFill="1" applyBorder="1" applyAlignment="1">
      <alignment horizontal="right"/>
    </xf>
    <xf numFmtId="4" fontId="27" fillId="12" borderId="0" xfId="0" applyNumberFormat="1" applyFont="1" applyFill="1" applyBorder="1" applyAlignment="1">
      <alignment horizontal="right"/>
    </xf>
    <xf numFmtId="0" fontId="27" fillId="0" borderId="0" xfId="0" applyFont="1" applyFill="1" applyAlignment="1">
      <alignment horizontal="right" vertical="center"/>
    </xf>
    <xf numFmtId="4" fontId="27" fillId="0" borderId="0" xfId="0" applyNumberFormat="1" applyFont="1" applyFill="1" applyAlignment="1">
      <alignment horizontal="right" vertical="center"/>
    </xf>
    <xf numFmtId="4" fontId="27" fillId="0" borderId="64" xfId="0" applyNumberFormat="1" applyFont="1" applyFill="1" applyBorder="1" applyAlignment="1" applyProtection="1">
      <alignment horizontal="right"/>
      <protection locked="0"/>
    </xf>
    <xf numFmtId="4" fontId="27" fillId="0" borderId="61" xfId="0" applyNumberFormat="1" applyFont="1" applyFill="1" applyBorder="1" applyAlignment="1">
      <alignment horizontal="right"/>
    </xf>
    <xf numFmtId="4" fontId="27" fillId="0" borderId="88" xfId="0" applyNumberFormat="1" applyFont="1" applyFill="1" applyBorder="1" applyAlignment="1" applyProtection="1">
      <alignment horizontal="right"/>
      <protection locked="0"/>
    </xf>
    <xf numFmtId="4" fontId="27" fillId="0" borderId="66" xfId="0" applyNumberFormat="1" applyFont="1" applyFill="1" applyBorder="1" applyAlignment="1">
      <alignment horizontal="right"/>
    </xf>
    <xf numFmtId="4" fontId="23" fillId="0" borderId="88" xfId="0" applyNumberFormat="1" applyFont="1" applyFill="1" applyBorder="1" applyAlignment="1">
      <alignment horizontal="right" vertical="center"/>
    </xf>
    <xf numFmtId="4" fontId="27" fillId="0" borderId="67" xfId="0" applyNumberFormat="1" applyFont="1" applyBorder="1" applyAlignment="1">
      <alignment horizontal="right" vertical="center" wrapText="1"/>
    </xf>
    <xf numFmtId="4" fontId="27" fillId="0" borderId="51" xfId="0" applyNumberFormat="1" applyFont="1" applyBorder="1" applyAlignment="1">
      <alignment horizontal="right" vertical="center" wrapText="1"/>
    </xf>
    <xf numFmtId="4" fontId="27" fillId="0" borderId="0" xfId="0" applyNumberFormat="1" applyFont="1" applyFill="1" applyBorder="1" applyAlignment="1" applyProtection="1">
      <alignment horizontal="right"/>
    </xf>
    <xf numFmtId="0" fontId="23" fillId="0" borderId="10" xfId="0" applyFont="1" applyFill="1" applyBorder="1" applyAlignment="1">
      <alignment horizontal="right"/>
    </xf>
    <xf numFmtId="4" fontId="23" fillId="0" borderId="50" xfId="0" applyNumberFormat="1" applyFont="1" applyFill="1" applyBorder="1" applyAlignment="1">
      <alignment horizontal="right"/>
    </xf>
    <xf numFmtId="0" fontId="27" fillId="0" borderId="0" xfId="0" applyFont="1" applyFill="1" applyBorder="1" applyAlignment="1">
      <alignment horizontal="right" vertical="center"/>
    </xf>
    <xf numFmtId="4" fontId="27" fillId="0" borderId="69" xfId="0" applyNumberFormat="1" applyFont="1" applyFill="1" applyBorder="1" applyAlignment="1" applyProtection="1">
      <alignment horizontal="right"/>
    </xf>
    <xf numFmtId="0" fontId="23" fillId="0" borderId="9" xfId="0" applyFont="1" applyFill="1" applyBorder="1" applyAlignment="1">
      <alignment horizontal="right"/>
    </xf>
    <xf numFmtId="4" fontId="23" fillId="0" borderId="32" xfId="0" applyNumberFormat="1" applyFont="1" applyFill="1" applyBorder="1" applyAlignment="1">
      <alignment horizontal="right"/>
    </xf>
    <xf numFmtId="0" fontId="23" fillId="0" borderId="0" xfId="0" applyFont="1" applyAlignment="1">
      <alignment horizontal="right"/>
    </xf>
    <xf numFmtId="4" fontId="23" fillId="0" borderId="0" xfId="0" applyNumberFormat="1" applyFont="1" applyAlignment="1">
      <alignment horizontal="right"/>
    </xf>
    <xf numFmtId="0" fontId="49" fillId="0" borderId="0" xfId="0" applyFont="1" applyAlignment="1">
      <alignment horizontal="right"/>
    </xf>
    <xf numFmtId="4" fontId="49" fillId="0" borderId="0" xfId="0" applyNumberFormat="1" applyFont="1" applyAlignment="1">
      <alignment horizontal="right"/>
    </xf>
    <xf numFmtId="0" fontId="49" fillId="0" borderId="0" xfId="0" applyFont="1" applyAlignment="1">
      <alignment horizontal="center"/>
    </xf>
    <xf numFmtId="43" fontId="27" fillId="0" borderId="43" xfId="3" applyNumberFormat="1" applyFont="1" applyFill="1" applyBorder="1" applyAlignment="1">
      <alignment horizontal="center" vertical="center" wrapText="1"/>
    </xf>
    <xf numFmtId="43" fontId="27" fillId="0" borderId="41" xfId="3" applyNumberFormat="1" applyFont="1" applyFill="1" applyBorder="1" applyAlignment="1">
      <alignment horizontal="right" vertical="center" wrapText="1"/>
    </xf>
    <xf numFmtId="43" fontId="26" fillId="0" borderId="41" xfId="3" applyNumberFormat="1" applyFont="1" applyFill="1" applyBorder="1" applyAlignment="1">
      <alignment horizontal="right" vertical="center" wrapText="1"/>
    </xf>
    <xf numFmtId="49" fontId="54" fillId="0" borderId="0" xfId="0" applyNumberFormat="1" applyFont="1"/>
    <xf numFmtId="0" fontId="27" fillId="0" borderId="0" xfId="0" applyFont="1" applyAlignment="1">
      <alignment horizontal="left"/>
    </xf>
    <xf numFmtId="4" fontId="23" fillId="14" borderId="0" xfId="0" applyNumberFormat="1" applyFont="1" applyFill="1"/>
    <xf numFmtId="1" fontId="43" fillId="0" borderId="0" xfId="0" applyNumberFormat="1" applyFont="1" applyAlignment="1">
      <alignment horizontal="center"/>
    </xf>
    <xf numFmtId="0" fontId="43" fillId="14" borderId="0" xfId="0" applyFont="1" applyFill="1"/>
    <xf numFmtId="4" fontId="43" fillId="14" borderId="0" xfId="0" applyNumberFormat="1" applyFont="1" applyFill="1"/>
    <xf numFmtId="4" fontId="43" fillId="0" borderId="0" xfId="0" applyNumberFormat="1" applyFont="1" applyAlignment="1">
      <alignment vertical="center"/>
    </xf>
    <xf numFmtId="4" fontId="43" fillId="0" borderId="0" xfId="4" applyNumberFormat="1" applyFont="1" applyBorder="1" applyAlignment="1" applyProtection="1">
      <alignment vertical="center"/>
    </xf>
    <xf numFmtId="4" fontId="43" fillId="14" borderId="0" xfId="0" applyNumberFormat="1" applyFont="1" applyFill="1" applyAlignment="1">
      <alignment horizontal="center"/>
    </xf>
    <xf numFmtId="4" fontId="43" fillId="0" borderId="0" xfId="0" applyNumberFormat="1" applyFont="1" applyBorder="1" applyAlignment="1">
      <alignment vertical="center"/>
    </xf>
    <xf numFmtId="4" fontId="43" fillId="0" borderId="2" xfId="0" applyNumberFormat="1" applyFont="1" applyBorder="1" applyAlignment="1">
      <alignment vertical="center"/>
    </xf>
    <xf numFmtId="4" fontId="43" fillId="0" borderId="2" xfId="4" applyNumberFormat="1" applyFont="1" applyBorder="1" applyAlignment="1" applyProtection="1">
      <alignment vertical="center"/>
    </xf>
    <xf numFmtId="0" fontId="43" fillId="0" borderId="0" xfId="0" applyFont="1" applyBorder="1" applyAlignment="1">
      <alignment horizontal="left"/>
    </xf>
    <xf numFmtId="0" fontId="43" fillId="0" borderId="0" xfId="0" applyFont="1" applyAlignment="1">
      <alignment horizontal="center" vertical="center"/>
    </xf>
    <xf numFmtId="0" fontId="43" fillId="0" borderId="2" xfId="0" applyFont="1" applyBorder="1" applyAlignment="1">
      <alignment horizontal="left"/>
    </xf>
    <xf numFmtId="4" fontId="43" fillId="0" borderId="3" xfId="0" applyNumberFormat="1" applyFont="1" applyBorder="1" applyAlignment="1">
      <alignment vertical="center"/>
    </xf>
    <xf numFmtId="49" fontId="23" fillId="0" borderId="0" xfId="0" applyNumberFormat="1" applyFont="1" applyAlignment="1">
      <alignment horizontal="center"/>
    </xf>
    <xf numFmtId="0" fontId="23" fillId="0" borderId="0" xfId="0" applyFont="1" applyAlignment="1">
      <alignment horizontal="left"/>
    </xf>
    <xf numFmtId="0" fontId="27" fillId="0" borderId="72" xfId="0" applyFont="1" applyBorder="1" applyAlignment="1">
      <alignment horizontal="left"/>
    </xf>
    <xf numFmtId="4" fontId="23" fillId="0" borderId="0" xfId="0" applyNumberFormat="1" applyFont="1" applyAlignment="1"/>
    <xf numFmtId="49" fontId="55" fillId="0" borderId="0" xfId="0" applyNumberFormat="1" applyFont="1"/>
    <xf numFmtId="171" fontId="43" fillId="14" borderId="0" xfId="0" applyNumberFormat="1" applyFont="1" applyFill="1"/>
    <xf numFmtId="4" fontId="43" fillId="0" borderId="3" xfId="0" applyNumberFormat="1" applyFont="1" applyBorder="1"/>
    <xf numFmtId="4" fontId="43" fillId="0" borderId="3" xfId="0" applyNumberFormat="1" applyFont="1" applyBorder="1" applyAlignment="1"/>
    <xf numFmtId="4" fontId="43" fillId="0" borderId="2" xfId="0" applyNumberFormat="1" applyFont="1" applyBorder="1" applyAlignment="1"/>
    <xf numFmtId="2" fontId="43" fillId="0" borderId="2" xfId="0" applyNumberFormat="1" applyFont="1" applyBorder="1" applyAlignment="1">
      <alignment horizontal="center"/>
    </xf>
    <xf numFmtId="4" fontId="43" fillId="0" borderId="0" xfId="0" applyNumberFormat="1" applyFont="1" applyBorder="1"/>
    <xf numFmtId="0" fontId="43" fillId="14" borderId="0" xfId="0" applyFont="1" applyFill="1" applyBorder="1"/>
    <xf numFmtId="0" fontId="43" fillId="14" borderId="2" xfId="0" applyFont="1" applyFill="1" applyBorder="1"/>
    <xf numFmtId="2" fontId="43" fillId="0" borderId="0" xfId="0" applyNumberFormat="1" applyFont="1" applyAlignment="1">
      <alignment horizontal="center"/>
    </xf>
    <xf numFmtId="49" fontId="43" fillId="0" borderId="3" xfId="0" applyNumberFormat="1" applyFont="1" applyBorder="1" applyAlignment="1">
      <alignment horizontal="center"/>
    </xf>
    <xf numFmtId="0" fontId="43" fillId="0" borderId="3" xfId="0" applyFont="1" applyBorder="1" applyAlignment="1">
      <alignment horizontal="left"/>
    </xf>
    <xf numFmtId="0" fontId="43" fillId="0" borderId="3" xfId="0" applyFont="1" applyBorder="1"/>
    <xf numFmtId="2" fontId="43" fillId="0" borderId="3" xfId="0" applyNumberFormat="1" applyFont="1" applyBorder="1" applyAlignment="1">
      <alignment horizontal="center"/>
    </xf>
    <xf numFmtId="0" fontId="27" fillId="0" borderId="72" xfId="0" applyFont="1" applyBorder="1" applyAlignment="1">
      <alignment horizontal="center"/>
    </xf>
    <xf numFmtId="0" fontId="56" fillId="0" borderId="0" xfId="0" applyFont="1" applyAlignment="1">
      <alignment horizontal="left"/>
    </xf>
    <xf numFmtId="0" fontId="56" fillId="0" borderId="0" xfId="0" applyFont="1"/>
    <xf numFmtId="0" fontId="43" fillId="14" borderId="0" xfId="0" applyFont="1" applyFill="1" applyAlignment="1">
      <alignment vertical="center"/>
    </xf>
    <xf numFmtId="4" fontId="23" fillId="0" borderId="72" xfId="0" applyNumberFormat="1" applyFont="1" applyBorder="1"/>
    <xf numFmtId="4" fontId="43" fillId="15" borderId="0" xfId="0" applyNumberFormat="1" applyFont="1" applyFill="1" applyAlignment="1">
      <alignment vertical="center"/>
    </xf>
    <xf numFmtId="49" fontId="23" fillId="0" borderId="3" xfId="0" applyNumberFormat="1" applyFont="1" applyBorder="1"/>
    <xf numFmtId="0" fontId="23" fillId="0" borderId="3" xfId="0" applyFont="1" applyBorder="1" applyAlignment="1">
      <alignment horizontal="left"/>
    </xf>
    <xf numFmtId="0" fontId="23" fillId="0" borderId="3" xfId="0" applyFont="1" applyBorder="1"/>
    <xf numFmtId="0" fontId="23" fillId="0" borderId="3" xfId="0" applyFont="1" applyBorder="1" applyAlignment="1">
      <alignment horizontal="center"/>
    </xf>
    <xf numFmtId="4" fontId="23" fillId="0" borderId="3" xfId="0" applyNumberFormat="1" applyFont="1" applyBorder="1"/>
    <xf numFmtId="4" fontId="23" fillId="0" borderId="3" xfId="0" applyNumberFormat="1" applyFont="1" applyBorder="1" applyAlignment="1"/>
    <xf numFmtId="0" fontId="28" fillId="0" borderId="0" xfId="0" applyFont="1" applyAlignment="1">
      <alignment horizontal="left"/>
    </xf>
    <xf numFmtId="49" fontId="23" fillId="0" borderId="0" xfId="0" applyNumberFormat="1" applyFont="1" applyAlignment="1">
      <alignment horizontal="left"/>
    </xf>
    <xf numFmtId="4" fontId="27" fillId="17" borderId="72" xfId="0" applyNumberFormat="1" applyFont="1" applyFill="1" applyBorder="1" applyAlignment="1"/>
    <xf numFmtId="4" fontId="43" fillId="0" borderId="2" xfId="0" applyNumberFormat="1" applyFont="1" applyFill="1" applyBorder="1" applyAlignment="1"/>
    <xf numFmtId="0" fontId="49" fillId="0" borderId="34" xfId="0" applyFont="1" applyBorder="1" applyAlignment="1">
      <alignment horizontal="center" vertical="center"/>
    </xf>
    <xf numFmtId="0" fontId="23" fillId="0" borderId="63" xfId="0" applyFont="1" applyBorder="1"/>
    <xf numFmtId="0" fontId="23" fillId="0" borderId="107" xfId="0" applyFont="1" applyBorder="1"/>
    <xf numFmtId="0" fontId="23" fillId="0" borderId="102" xfId="0" applyFont="1" applyBorder="1"/>
    <xf numFmtId="0" fontId="23" fillId="0" borderId="104" xfId="0" applyFont="1" applyBorder="1"/>
    <xf numFmtId="0" fontId="49" fillId="0" borderId="35" xfId="0" applyFont="1" applyBorder="1"/>
    <xf numFmtId="0" fontId="23" fillId="0" borderId="65" xfId="0" applyFont="1" applyBorder="1" applyAlignment="1">
      <alignment horizontal="left" vertical="top" wrapText="1"/>
    </xf>
    <xf numFmtId="0" fontId="23" fillId="0" borderId="88" xfId="0" applyFont="1" applyBorder="1" applyAlignment="1">
      <alignment vertical="center" wrapText="1"/>
    </xf>
    <xf numFmtId="0" fontId="23" fillId="0" borderId="91" xfId="0" applyFont="1" applyBorder="1"/>
    <xf numFmtId="0" fontId="23" fillId="0" borderId="103" xfId="0" applyFont="1" applyBorder="1"/>
    <xf numFmtId="0" fontId="23" fillId="0" borderId="105" xfId="0" applyFont="1" applyBorder="1"/>
    <xf numFmtId="0" fontId="23" fillId="0" borderId="88" xfId="0" applyFont="1" applyBorder="1" applyAlignment="1">
      <alignment horizontal="left" vertical="top" wrapText="1"/>
    </xf>
    <xf numFmtId="0" fontId="23" fillId="0" borderId="65" xfId="0" applyFont="1" applyBorder="1" applyAlignment="1">
      <alignment vertical="center" wrapText="1"/>
    </xf>
    <xf numFmtId="0" fontId="23" fillId="0" borderId="88" xfId="0" applyFont="1" applyBorder="1" applyAlignment="1">
      <alignment vertical="center"/>
    </xf>
    <xf numFmtId="0" fontId="23" fillId="0" borderId="88" xfId="0" applyFont="1" applyBorder="1" applyAlignment="1">
      <alignment horizontal="left" vertical="top"/>
    </xf>
    <xf numFmtId="0" fontId="49" fillId="0" borderId="36" xfId="0" applyFont="1" applyBorder="1"/>
    <xf numFmtId="0" fontId="23" fillId="0" borderId="53" xfId="0" applyFont="1" applyBorder="1" applyAlignment="1">
      <alignment horizontal="left" vertical="top" wrapText="1"/>
    </xf>
    <xf numFmtId="0" fontId="23" fillId="0" borderId="67" xfId="0" applyFont="1" applyBorder="1" applyAlignment="1">
      <alignment horizontal="left" vertical="top" wrapText="1"/>
    </xf>
    <xf numFmtId="0" fontId="23" fillId="0" borderId="108" xfId="0" applyFont="1" applyBorder="1" applyAlignment="1">
      <alignment horizontal="center" vertical="center"/>
    </xf>
    <xf numFmtId="4" fontId="23" fillId="0" borderId="109" xfId="0" applyNumberFormat="1" applyFont="1" applyBorder="1" applyAlignment="1">
      <alignment horizontal="center" vertical="center"/>
    </xf>
    <xf numFmtId="4" fontId="23" fillId="0" borderId="54" xfId="0" applyNumberFormat="1" applyFont="1" applyBorder="1" applyAlignment="1">
      <alignment horizontal="center" vertical="center"/>
    </xf>
    <xf numFmtId="0" fontId="23" fillId="0" borderId="0" xfId="0" applyFont="1" applyAlignment="1">
      <alignment vertical="center"/>
    </xf>
    <xf numFmtId="0" fontId="23" fillId="0" borderId="0" xfId="0" applyFont="1" applyFill="1" applyBorder="1" applyAlignment="1">
      <alignment horizontal="right" vertical="center" wrapText="1"/>
    </xf>
    <xf numFmtId="4" fontId="23" fillId="0" borderId="0" xfId="0" applyNumberFormat="1" applyFont="1" applyAlignment="1">
      <alignment horizontal="right" vertical="center" wrapText="1"/>
    </xf>
    <xf numFmtId="49" fontId="27" fillId="0" borderId="5" xfId="0" applyNumberFormat="1" applyFont="1" applyBorder="1" applyAlignment="1">
      <alignment horizontal="center" vertical="center"/>
    </xf>
    <xf numFmtId="49" fontId="23" fillId="0" borderId="5" xfId="0" applyNumberFormat="1" applyFont="1" applyBorder="1" applyAlignment="1">
      <alignment horizontal="center" vertical="top"/>
    </xf>
    <xf numFmtId="0" fontId="27" fillId="0" borderId="5" xfId="0" applyFont="1" applyBorder="1" applyAlignment="1">
      <alignment horizontal="left" vertical="center"/>
    </xf>
    <xf numFmtId="49" fontId="23" fillId="0" borderId="5" xfId="0" applyNumberFormat="1" applyFont="1" applyFill="1" applyBorder="1" applyAlignment="1">
      <alignment horizontal="center" vertical="center"/>
    </xf>
    <xf numFmtId="4" fontId="23" fillId="0" borderId="5" xfId="0" applyNumberFormat="1" applyFont="1" applyFill="1" applyBorder="1" applyAlignment="1">
      <alignment horizontal="right" vertical="center"/>
    </xf>
    <xf numFmtId="0" fontId="23" fillId="3" borderId="5" xfId="0" applyFont="1" applyFill="1" applyBorder="1"/>
    <xf numFmtId="4" fontId="23" fillId="0" borderId="5" xfId="0" applyNumberFormat="1" applyFont="1" applyFill="1" applyBorder="1"/>
    <xf numFmtId="0" fontId="23" fillId="0" borderId="2" xfId="0" applyFont="1" applyFill="1" applyBorder="1" applyAlignment="1">
      <alignment horizontal="left" vertical="top" wrapText="1"/>
    </xf>
    <xf numFmtId="49" fontId="23" fillId="0" borderId="2" xfId="0" applyNumberFormat="1" applyFont="1" applyFill="1" applyBorder="1" applyAlignment="1">
      <alignment horizontal="center" vertical="center" wrapText="1"/>
    </xf>
    <xf numFmtId="4" fontId="23" fillId="0" borderId="2" xfId="0" applyNumberFormat="1" applyFont="1" applyFill="1" applyBorder="1" applyAlignment="1">
      <alignment horizontal="right" vertical="center" wrapText="1"/>
    </xf>
    <xf numFmtId="0" fontId="23" fillId="3" borderId="2" xfId="0" applyFont="1" applyFill="1" applyBorder="1" applyAlignment="1">
      <alignment horizontal="center" vertical="center"/>
    </xf>
    <xf numFmtId="4" fontId="23" fillId="0" borderId="2" xfId="0" applyNumberFormat="1" applyFont="1" applyFill="1" applyBorder="1" applyAlignment="1">
      <alignment horizontal="right" vertical="center"/>
    </xf>
    <xf numFmtId="0" fontId="23" fillId="0" borderId="2" xfId="0" applyFont="1" applyBorder="1" applyAlignment="1">
      <alignment horizontal="left" vertical="top" wrapText="1"/>
    </xf>
    <xf numFmtId="4" fontId="23" fillId="0" borderId="2" xfId="0" applyNumberFormat="1" applyFont="1" applyFill="1" applyBorder="1" applyAlignment="1">
      <alignment horizontal="center" vertical="center" wrapText="1"/>
    </xf>
    <xf numFmtId="0" fontId="23" fillId="0" borderId="2" xfId="0" applyFont="1" applyBorder="1" applyAlignment="1">
      <alignment horizontal="center" wrapText="1"/>
    </xf>
    <xf numFmtId="4" fontId="23" fillId="0" borderId="2" xfId="0" applyNumberFormat="1" applyFont="1" applyBorder="1" applyAlignment="1">
      <alignment horizontal="right" wrapText="1"/>
    </xf>
    <xf numFmtId="0" fontId="23" fillId="3" borderId="2" xfId="0" applyFont="1" applyFill="1" applyBorder="1" applyAlignment="1">
      <alignment horizontal="right"/>
    </xf>
    <xf numFmtId="0" fontId="23" fillId="3" borderId="2" xfId="0" applyFont="1" applyFill="1" applyBorder="1" applyAlignment="1"/>
    <xf numFmtId="4" fontId="23" fillId="0" borderId="2" xfId="0" applyNumberFormat="1" applyFont="1" applyFill="1" applyBorder="1" applyAlignment="1"/>
    <xf numFmtId="0" fontId="23" fillId="0" borderId="0" xfId="0" applyFont="1" applyBorder="1" applyAlignment="1">
      <alignment horizontal="right" wrapText="1"/>
    </xf>
    <xf numFmtId="49" fontId="23" fillId="0" borderId="2" xfId="0" applyNumberFormat="1" applyFont="1" applyFill="1" applyBorder="1" applyAlignment="1">
      <alignment horizontal="center"/>
    </xf>
    <xf numFmtId="49" fontId="23" fillId="0" borderId="2" xfId="0" applyNumberFormat="1" applyFont="1" applyBorder="1" applyAlignment="1">
      <alignment horizontal="center" vertical="top"/>
    </xf>
    <xf numFmtId="4" fontId="23" fillId="3" borderId="2" xfId="0" applyNumberFormat="1" applyFont="1" applyFill="1" applyBorder="1"/>
    <xf numFmtId="49" fontId="27" fillId="0" borderId="0" xfId="0" applyNumberFormat="1" applyFont="1" applyBorder="1" applyAlignment="1">
      <alignment horizontal="left" vertical="top"/>
    </xf>
    <xf numFmtId="4" fontId="27" fillId="0" borderId="0" xfId="0" applyNumberFormat="1" applyFont="1" applyFill="1" applyBorder="1" applyAlignment="1">
      <alignment horizontal="left" vertical="center"/>
    </xf>
    <xf numFmtId="4" fontId="27" fillId="0" borderId="0" xfId="0" applyNumberFormat="1" applyFont="1" applyFill="1" applyBorder="1" applyAlignment="1">
      <alignment horizontal="left" vertical="top"/>
    </xf>
    <xf numFmtId="4" fontId="23" fillId="0" borderId="2" xfId="0" applyNumberFormat="1" applyFont="1" applyFill="1" applyBorder="1" applyAlignment="1">
      <alignment horizontal="left" vertical="top"/>
    </xf>
    <xf numFmtId="4" fontId="27" fillId="0" borderId="0" xfId="0" applyNumberFormat="1" applyFont="1" applyFill="1" applyBorder="1" applyAlignment="1">
      <alignment horizontal="left" vertical="top" wrapText="1"/>
    </xf>
    <xf numFmtId="4" fontId="27" fillId="0" borderId="7" xfId="0" applyNumberFormat="1" applyFont="1" applyFill="1" applyBorder="1" applyAlignment="1">
      <alignment horizontal="right"/>
    </xf>
    <xf numFmtId="49" fontId="10" fillId="0" borderId="0" xfId="0" applyNumberFormat="1" applyFont="1" applyAlignment="1">
      <alignment horizontal="center" vertical="top"/>
    </xf>
    <xf numFmtId="0" fontId="10" fillId="0" borderId="0" xfId="0" applyFont="1" applyBorder="1"/>
    <xf numFmtId="49" fontId="10" fillId="0" borderId="0" xfId="0" applyNumberFormat="1" applyFont="1" applyFill="1" applyBorder="1" applyAlignment="1">
      <alignment horizontal="center"/>
    </xf>
    <xf numFmtId="4" fontId="10" fillId="0" borderId="0" xfId="0" applyNumberFormat="1" applyFont="1" applyFill="1" applyAlignment="1">
      <alignment horizontal="right" vertical="center"/>
    </xf>
    <xf numFmtId="0" fontId="10" fillId="3" borderId="0" xfId="0" applyFont="1" applyFill="1"/>
    <xf numFmtId="4" fontId="10" fillId="0" borderId="0" xfId="0" applyNumberFormat="1" applyFont="1" applyFill="1"/>
    <xf numFmtId="0" fontId="57" fillId="3" borderId="0" xfId="0" applyFont="1" applyFill="1"/>
    <xf numFmtId="49" fontId="23" fillId="0" borderId="31" xfId="0" applyNumberFormat="1" applyFont="1" applyFill="1" applyBorder="1" applyAlignment="1">
      <alignment horizontal="center" vertical="center" wrapText="1"/>
    </xf>
    <xf numFmtId="0" fontId="23" fillId="0" borderId="31" xfId="0" applyFont="1" applyFill="1" applyBorder="1" applyAlignment="1">
      <alignment horizontal="center" vertical="center"/>
    </xf>
    <xf numFmtId="4" fontId="23" fillId="0" borderId="31" xfId="0" applyNumberFormat="1" applyFont="1" applyFill="1" applyBorder="1" applyAlignment="1">
      <alignment horizontal="center" vertical="center" wrapText="1"/>
    </xf>
    <xf numFmtId="0" fontId="23" fillId="3" borderId="31" xfId="0" applyFont="1" applyFill="1" applyBorder="1" applyAlignment="1">
      <alignment horizontal="center" vertical="center"/>
    </xf>
    <xf numFmtId="4" fontId="23" fillId="0" borderId="31" xfId="0" applyNumberFormat="1" applyFont="1" applyFill="1" applyBorder="1" applyAlignment="1">
      <alignment horizontal="center" vertical="center"/>
    </xf>
    <xf numFmtId="0" fontId="58" fillId="0" borderId="0" xfId="0" applyFont="1"/>
    <xf numFmtId="4" fontId="27" fillId="17" borderId="6" xfId="0" applyNumberFormat="1" applyFont="1" applyFill="1" applyBorder="1" applyAlignment="1">
      <alignment horizontal="right" vertical="center"/>
    </xf>
    <xf numFmtId="4" fontId="27" fillId="17" borderId="6" xfId="0" applyNumberFormat="1" applyFont="1" applyFill="1" applyBorder="1"/>
    <xf numFmtId="4" fontId="27" fillId="17" borderId="8" xfId="0" applyNumberFormat="1" applyFont="1" applyFill="1" applyBorder="1"/>
    <xf numFmtId="4" fontId="27" fillId="0" borderId="53" xfId="0" applyNumberFormat="1" applyFont="1" applyFill="1" applyBorder="1" applyAlignment="1">
      <alignment horizontal="center" vertical="center" wrapText="1"/>
    </xf>
    <xf numFmtId="0" fontId="27" fillId="0" borderId="52" xfId="0" applyFont="1" applyFill="1" applyBorder="1" applyAlignment="1">
      <alignment horizontal="center" vertical="center" textRotation="90" wrapText="1"/>
    </xf>
    <xf numFmtId="0" fontId="27" fillId="0" borderId="52" xfId="0" applyFont="1" applyFill="1" applyBorder="1" applyAlignment="1">
      <alignment horizontal="right" vertical="center" textRotation="90" wrapText="1"/>
    </xf>
    <xf numFmtId="0" fontId="23" fillId="0" borderId="75" xfId="0" applyFont="1" applyFill="1" applyBorder="1" applyAlignment="1">
      <alignment horizontal="center" vertical="center"/>
    </xf>
    <xf numFmtId="0" fontId="23" fillId="0" borderId="77" xfId="0" applyFont="1" applyFill="1" applyBorder="1" applyAlignment="1">
      <alignment horizontal="center" vertical="center"/>
    </xf>
    <xf numFmtId="0" fontId="23" fillId="0" borderId="79" xfId="0" applyFont="1" applyFill="1" applyBorder="1" applyAlignment="1">
      <alignment horizontal="center"/>
    </xf>
    <xf numFmtId="0" fontId="23" fillId="0" borderId="77" xfId="0" applyFont="1" applyFill="1" applyBorder="1" applyAlignment="1">
      <alignment horizontal="center"/>
    </xf>
    <xf numFmtId="4" fontId="23" fillId="0" borderId="79" xfId="0" applyNumberFormat="1" applyFont="1" applyFill="1" applyBorder="1" applyAlignment="1">
      <alignment horizontal="center" wrapText="1"/>
    </xf>
    <xf numFmtId="4" fontId="23" fillId="0" borderId="77" xfId="0" applyNumberFormat="1" applyFont="1" applyFill="1" applyBorder="1" applyAlignment="1">
      <alignment horizontal="center" wrapText="1"/>
    </xf>
    <xf numFmtId="4" fontId="23" fillId="0" borderId="79" xfId="0" applyNumberFormat="1" applyFont="1" applyFill="1" applyBorder="1" applyAlignment="1">
      <alignment horizontal="right" vertical="center"/>
    </xf>
    <xf numFmtId="4" fontId="23" fillId="0" borderId="77" xfId="0" applyNumberFormat="1" applyFont="1" applyFill="1" applyBorder="1" applyAlignment="1">
      <alignment horizontal="right" vertical="center"/>
    </xf>
    <xf numFmtId="0" fontId="23" fillId="0" borderId="0" xfId="0" applyFont="1" applyFill="1" applyAlignment="1">
      <alignment horizontal="center"/>
    </xf>
    <xf numFmtId="0" fontId="23" fillId="0" borderId="0" xfId="0" applyFont="1" applyFill="1" applyAlignment="1">
      <alignment horizontal="center" vertical="center"/>
    </xf>
    <xf numFmtId="0" fontId="27" fillId="0" borderId="0"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7" xfId="0" applyFont="1" applyFill="1" applyBorder="1" applyAlignment="1">
      <alignment vertical="center" wrapText="1"/>
    </xf>
    <xf numFmtId="0" fontId="27" fillId="0" borderId="30" xfId="0" applyFont="1" applyFill="1" applyBorder="1" applyAlignment="1">
      <alignment vertical="center" wrapText="1"/>
    </xf>
    <xf numFmtId="0" fontId="27" fillId="0" borderId="8" xfId="0" applyFont="1" applyFill="1" applyBorder="1" applyAlignment="1">
      <alignment vertical="center" wrapText="1"/>
    </xf>
    <xf numFmtId="0" fontId="23" fillId="0" borderId="0" xfId="0" applyFont="1" applyFill="1" applyAlignment="1">
      <alignment horizontal="left" vertical="center"/>
    </xf>
    <xf numFmtId="0" fontId="23" fillId="0" borderId="75" xfId="0" applyFont="1" applyFill="1" applyBorder="1" applyAlignment="1">
      <alignment horizontal="center"/>
    </xf>
    <xf numFmtId="0" fontId="23" fillId="0" borderId="78" xfId="0" applyFont="1" applyFill="1" applyBorder="1" applyAlignment="1">
      <alignment horizontal="center"/>
    </xf>
    <xf numFmtId="4" fontId="23" fillId="0" borderId="75" xfId="0" applyNumberFormat="1" applyFont="1" applyFill="1" applyBorder="1" applyAlignment="1">
      <alignment horizontal="center" wrapText="1"/>
    </xf>
    <xf numFmtId="4" fontId="23" fillId="0" borderId="78" xfId="0" applyNumberFormat="1" applyFont="1" applyFill="1" applyBorder="1" applyAlignment="1">
      <alignment horizontal="center" wrapText="1"/>
    </xf>
    <xf numFmtId="4" fontId="23" fillId="0" borderId="75" xfId="0" applyNumberFormat="1" applyFont="1" applyFill="1" applyBorder="1" applyAlignment="1">
      <alignment horizontal="right" vertical="center"/>
    </xf>
    <xf numFmtId="4" fontId="23" fillId="0" borderId="78" xfId="0" applyNumberFormat="1" applyFont="1" applyFill="1" applyBorder="1" applyAlignment="1">
      <alignment horizontal="right" vertical="center"/>
    </xf>
    <xf numFmtId="0" fontId="23" fillId="0" borderId="78" xfId="0" applyFont="1" applyFill="1" applyBorder="1" applyAlignment="1">
      <alignment horizontal="center" vertical="center"/>
    </xf>
    <xf numFmtId="0" fontId="23" fillId="0" borderId="79" xfId="0" applyFont="1" applyFill="1" applyBorder="1" applyAlignment="1">
      <alignment horizontal="center" vertical="center"/>
    </xf>
    <xf numFmtId="0" fontId="23" fillId="0" borderId="73" xfId="0" applyFont="1" applyFill="1" applyBorder="1" applyAlignment="1">
      <alignment horizontal="center" vertical="center"/>
    </xf>
    <xf numFmtId="0" fontId="28" fillId="0" borderId="0" xfId="0" applyFont="1" applyFill="1" applyAlignment="1">
      <alignment horizontal="center" vertical="center"/>
    </xf>
    <xf numFmtId="0" fontId="43" fillId="0" borderId="0" xfId="0" applyFont="1" applyFill="1" applyAlignment="1">
      <alignment horizontal="left" vertical="top" wrapText="1"/>
    </xf>
    <xf numFmtId="0" fontId="43" fillId="0" borderId="0" xfId="0" applyFont="1" applyFill="1" applyAlignment="1">
      <alignment horizontal="left" vertical="top"/>
    </xf>
    <xf numFmtId="0" fontId="27" fillId="0" borderId="75" xfId="0" applyFont="1" applyFill="1" applyBorder="1" applyAlignment="1">
      <alignment vertical="center" wrapText="1"/>
    </xf>
    <xf numFmtId="0" fontId="27" fillId="0" borderId="73" xfId="0" applyFont="1" applyFill="1" applyBorder="1" applyAlignment="1">
      <alignment vertical="center" wrapText="1"/>
    </xf>
    <xf numFmtId="0" fontId="23" fillId="0" borderId="75" xfId="0" applyFont="1" applyFill="1" applyBorder="1" applyAlignment="1">
      <alignment horizontal="center" wrapText="1"/>
    </xf>
    <xf numFmtId="0" fontId="23" fillId="0" borderId="78" xfId="0" applyFont="1" applyFill="1" applyBorder="1" applyAlignment="1">
      <alignment horizontal="center" wrapText="1"/>
    </xf>
    <xf numFmtId="4" fontId="23" fillId="0" borderId="75" xfId="0" applyNumberFormat="1" applyFont="1" applyFill="1" applyBorder="1" applyAlignment="1">
      <alignment horizontal="right" vertical="center" wrapText="1"/>
    </xf>
    <xf numFmtId="4" fontId="23" fillId="0" borderId="78" xfId="0" applyNumberFormat="1" applyFont="1" applyFill="1" applyBorder="1" applyAlignment="1">
      <alignment horizontal="right" vertical="center" wrapText="1"/>
    </xf>
    <xf numFmtId="4" fontId="27" fillId="0" borderId="0" xfId="0" applyNumberFormat="1" applyFont="1" applyFill="1" applyBorder="1" applyAlignment="1">
      <alignment horizontal="right"/>
    </xf>
    <xf numFmtId="49" fontId="23" fillId="0" borderId="0" xfId="0" applyNumberFormat="1" applyFont="1" applyAlignment="1">
      <alignment horizontal="center" vertical="top"/>
    </xf>
    <xf numFmtId="49" fontId="27" fillId="0" borderId="0" xfId="0" applyNumberFormat="1" applyFont="1" applyAlignment="1">
      <alignment horizontal="center" vertical="top"/>
    </xf>
    <xf numFmtId="0" fontId="23" fillId="0" borderId="0" xfId="0" applyFont="1" applyAlignment="1">
      <alignment horizontal="left" vertical="top" wrapText="1"/>
    </xf>
    <xf numFmtId="0" fontId="0" fillId="4" borderId="2" xfId="0" applyFill="1" applyBorder="1" applyAlignment="1">
      <alignment horizontal="center"/>
    </xf>
    <xf numFmtId="0" fontId="0" fillId="4" borderId="2" xfId="0" applyFill="1" applyBorder="1" applyAlignment="1">
      <alignment horizontal="center" vertical="center"/>
    </xf>
    <xf numFmtId="0" fontId="35" fillId="0" borderId="0" xfId="0" applyFont="1" applyBorder="1" applyAlignment="1">
      <alignment horizontal="left" vertical="top" wrapText="1"/>
    </xf>
    <xf numFmtId="0" fontId="35" fillId="0" borderId="0" xfId="0" applyFont="1" applyBorder="1" applyAlignment="1">
      <alignment vertical="top" wrapText="1"/>
    </xf>
    <xf numFmtId="0" fontId="34" fillId="0" borderId="0" xfId="0" applyFont="1" applyBorder="1" applyAlignment="1">
      <alignment horizontal="justify" vertical="top"/>
    </xf>
    <xf numFmtId="166" fontId="34" fillId="0" borderId="0" xfId="12" applyNumberFormat="1" applyFont="1" applyFill="1" applyBorder="1" applyAlignment="1" applyProtection="1">
      <alignment horizontal="left" vertical="top"/>
    </xf>
    <xf numFmtId="0" fontId="34" fillId="0" borderId="0" xfId="0" applyFont="1" applyBorder="1" applyAlignment="1">
      <alignment horizontal="left" vertical="top" wrapText="1"/>
    </xf>
    <xf numFmtId="0" fontId="41" fillId="0" borderId="0" xfId="11" applyFont="1" applyFill="1" applyBorder="1" applyAlignment="1">
      <alignment horizontal="left" vertical="top" wrapText="1"/>
    </xf>
    <xf numFmtId="166" fontId="41" fillId="0" borderId="0" xfId="11" applyNumberFormat="1" applyFont="1" applyFill="1" applyBorder="1" applyAlignment="1">
      <alignment horizontal="left" vertical="top" wrapText="1"/>
    </xf>
    <xf numFmtId="166" fontId="34" fillId="0" borderId="0" xfId="11" applyNumberFormat="1" applyFont="1" applyFill="1" applyBorder="1" applyAlignment="1">
      <alignment horizontal="left" vertical="top"/>
    </xf>
    <xf numFmtId="0" fontId="51" fillId="0" borderId="0" xfId="0" applyFont="1" applyBorder="1" applyAlignment="1">
      <alignment horizontal="left" vertical="top" wrapText="1"/>
    </xf>
    <xf numFmtId="0" fontId="23" fillId="0" borderId="115" xfId="0" applyFont="1" applyFill="1" applyBorder="1" applyAlignment="1">
      <alignment horizontal="right" vertical="center"/>
    </xf>
    <xf numFmtId="0" fontId="23" fillId="0" borderId="111" xfId="0" applyFont="1" applyFill="1" applyBorder="1" applyAlignment="1">
      <alignment horizontal="right" vertical="center"/>
    </xf>
    <xf numFmtId="0" fontId="23" fillId="0" borderId="112" xfId="0" applyFont="1" applyFill="1" applyBorder="1" applyAlignment="1">
      <alignment horizontal="right" vertical="center"/>
    </xf>
    <xf numFmtId="0" fontId="23" fillId="0" borderId="69" xfId="0" applyFont="1" applyFill="1" applyBorder="1" applyAlignment="1">
      <alignment horizontal="right" vertical="center"/>
    </xf>
    <xf numFmtId="0" fontId="23" fillId="0" borderId="113" xfId="0" applyFont="1" applyFill="1" applyBorder="1" applyAlignment="1">
      <alignment horizontal="right" vertical="center"/>
    </xf>
    <xf numFmtId="0" fontId="23" fillId="0" borderId="114" xfId="0" applyFont="1" applyFill="1" applyBorder="1" applyAlignment="1">
      <alignment horizontal="right" vertical="center"/>
    </xf>
    <xf numFmtId="4" fontId="23" fillId="0" borderId="115" xfId="0" applyNumberFormat="1" applyFont="1" applyFill="1" applyBorder="1" applyAlignment="1">
      <alignment horizontal="right"/>
    </xf>
    <xf numFmtId="4" fontId="23" fillId="0" borderId="111" xfId="0" applyNumberFormat="1" applyFont="1" applyFill="1" applyBorder="1" applyAlignment="1">
      <alignment horizontal="right"/>
    </xf>
    <xf numFmtId="4" fontId="23" fillId="0" borderId="112" xfId="0" applyNumberFormat="1" applyFont="1" applyFill="1" applyBorder="1" applyAlignment="1">
      <alignment horizontal="right"/>
    </xf>
    <xf numFmtId="4" fontId="23" fillId="0" borderId="69" xfId="0" applyNumberFormat="1" applyFont="1" applyFill="1" applyBorder="1" applyAlignment="1">
      <alignment horizontal="right"/>
    </xf>
    <xf numFmtId="4" fontId="23" fillId="0" borderId="113" xfId="0" applyNumberFormat="1" applyFont="1" applyFill="1" applyBorder="1" applyAlignment="1">
      <alignment horizontal="right"/>
    </xf>
    <xf numFmtId="4" fontId="23" fillId="0" borderId="114" xfId="0" applyNumberFormat="1" applyFont="1" applyFill="1" applyBorder="1" applyAlignment="1">
      <alignment horizontal="right"/>
    </xf>
    <xf numFmtId="4" fontId="23" fillId="0" borderId="115" xfId="0" applyNumberFormat="1" applyFont="1" applyFill="1" applyBorder="1" applyAlignment="1" applyProtection="1">
      <alignment horizontal="right"/>
      <protection locked="0"/>
    </xf>
    <xf numFmtId="4" fontId="23" fillId="0" borderId="111" xfId="0" applyNumberFormat="1" applyFont="1" applyFill="1" applyBorder="1" applyAlignment="1" applyProtection="1">
      <alignment horizontal="right"/>
      <protection locked="0"/>
    </xf>
    <xf numFmtId="4" fontId="23" fillId="0" borderId="112" xfId="0" applyNumberFormat="1" applyFont="1" applyFill="1" applyBorder="1" applyAlignment="1" applyProtection="1">
      <alignment horizontal="right"/>
      <protection locked="0"/>
    </xf>
    <xf numFmtId="4" fontId="23" fillId="0" borderId="69" xfId="0" applyNumberFormat="1" applyFont="1" applyFill="1" applyBorder="1" applyAlignment="1" applyProtection="1">
      <alignment horizontal="right"/>
      <protection locked="0"/>
    </xf>
    <xf numFmtId="4" fontId="23" fillId="0" borderId="113" xfId="0" applyNumberFormat="1" applyFont="1" applyFill="1" applyBorder="1" applyAlignment="1" applyProtection="1">
      <alignment horizontal="right"/>
      <protection locked="0"/>
    </xf>
    <xf numFmtId="4" fontId="23" fillId="0" borderId="114" xfId="0" applyNumberFormat="1" applyFont="1" applyFill="1" applyBorder="1" applyAlignment="1" applyProtection="1">
      <alignment horizontal="right"/>
      <protection locked="0"/>
    </xf>
    <xf numFmtId="0" fontId="23" fillId="0" borderId="10" xfId="0" applyFont="1" applyBorder="1" applyAlignment="1">
      <alignment horizontal="left" vertical="top" wrapText="1"/>
    </xf>
    <xf numFmtId="0" fontId="27" fillId="0" borderId="0" xfId="0" applyFont="1" applyFill="1" applyAlignment="1">
      <alignment horizontal="left" vertical="center"/>
    </xf>
    <xf numFmtId="4" fontId="23" fillId="0" borderId="110" xfId="0" applyNumberFormat="1" applyFont="1" applyFill="1" applyBorder="1" applyAlignment="1">
      <alignment horizontal="right"/>
    </xf>
    <xf numFmtId="0" fontId="23" fillId="0" borderId="115" xfId="0" applyFont="1" applyFill="1" applyBorder="1" applyAlignment="1">
      <alignment horizontal="right"/>
    </xf>
    <xf numFmtId="0" fontId="23" fillId="0" borderId="111" xfId="0" applyFont="1" applyFill="1" applyBorder="1" applyAlignment="1">
      <alignment horizontal="right"/>
    </xf>
    <xf numFmtId="0" fontId="23" fillId="0" borderId="113" xfId="0" applyFont="1" applyFill="1" applyBorder="1" applyAlignment="1">
      <alignment horizontal="right"/>
    </xf>
    <xf numFmtId="0" fontId="23" fillId="0" borderId="114" xfId="0" applyFont="1" applyFill="1" applyBorder="1" applyAlignment="1">
      <alignment horizontal="right"/>
    </xf>
    <xf numFmtId="0" fontId="23" fillId="0" borderId="112" xfId="0" applyFont="1" applyFill="1" applyBorder="1" applyAlignment="1">
      <alignment horizontal="right"/>
    </xf>
    <xf numFmtId="0" fontId="23" fillId="0" borderId="69" xfId="0" applyFont="1" applyFill="1" applyBorder="1" applyAlignment="1">
      <alignment horizontal="right"/>
    </xf>
    <xf numFmtId="4" fontId="23" fillId="0" borderId="115" xfId="0" applyNumberFormat="1" applyFont="1" applyFill="1" applyBorder="1" applyAlignment="1">
      <alignment horizontal="right" wrapText="1"/>
    </xf>
    <xf numFmtId="4" fontId="23" fillId="0" borderId="111" xfId="0" applyNumberFormat="1" applyFont="1" applyFill="1" applyBorder="1" applyAlignment="1">
      <alignment horizontal="right" wrapText="1"/>
    </xf>
    <xf numFmtId="4" fontId="23" fillId="0" borderId="112" xfId="0" applyNumberFormat="1" applyFont="1" applyFill="1" applyBorder="1" applyAlignment="1">
      <alignment horizontal="right" wrapText="1"/>
    </xf>
    <xf numFmtId="4" fontId="23" fillId="0" borderId="69" xfId="0" applyNumberFormat="1" applyFont="1" applyFill="1" applyBorder="1" applyAlignment="1">
      <alignment horizontal="right" wrapText="1"/>
    </xf>
    <xf numFmtId="4" fontId="23" fillId="0" borderId="113" xfId="0" applyNumberFormat="1" applyFont="1" applyFill="1" applyBorder="1" applyAlignment="1">
      <alignment horizontal="right" wrapText="1"/>
    </xf>
    <xf numFmtId="4" fontId="23" fillId="0" borderId="114" xfId="0" applyNumberFormat="1" applyFont="1" applyFill="1" applyBorder="1" applyAlignment="1">
      <alignment horizontal="right" wrapText="1"/>
    </xf>
    <xf numFmtId="0" fontId="23" fillId="0" borderId="115" xfId="0" applyFont="1" applyBorder="1" applyAlignment="1">
      <alignment horizontal="right"/>
    </xf>
    <xf numFmtId="0" fontId="23" fillId="0" borderId="111" xfId="0" applyFont="1" applyBorder="1" applyAlignment="1">
      <alignment horizontal="right"/>
    </xf>
    <xf numFmtId="0" fontId="23" fillId="0" borderId="112" xfId="0" applyFont="1" applyBorder="1" applyAlignment="1">
      <alignment horizontal="right"/>
    </xf>
    <xf numFmtId="0" fontId="23" fillId="0" borderId="69" xfId="0" applyFont="1" applyBorder="1" applyAlignment="1">
      <alignment horizontal="right"/>
    </xf>
    <xf numFmtId="0" fontId="23" fillId="0" borderId="113" xfId="0" applyFont="1" applyBorder="1" applyAlignment="1">
      <alignment horizontal="right"/>
    </xf>
    <xf numFmtId="0" fontId="23" fillId="0" borderId="114" xfId="0" applyFont="1" applyBorder="1" applyAlignment="1">
      <alignment horizontal="right"/>
    </xf>
    <xf numFmtId="0" fontId="23" fillId="0" borderId="115" xfId="0" applyNumberFormat="1" applyFont="1" applyFill="1" applyBorder="1" applyAlignment="1">
      <alignment horizontal="right" vertical="center" wrapText="1"/>
    </xf>
    <xf numFmtId="0" fontId="23" fillId="0" borderId="111" xfId="0" applyNumberFormat="1" applyFont="1" applyFill="1" applyBorder="1" applyAlignment="1">
      <alignment horizontal="right" vertical="center" wrapText="1"/>
    </xf>
    <xf numFmtId="0" fontId="23" fillId="0" borderId="112" xfId="0" applyNumberFormat="1" applyFont="1" applyFill="1" applyBorder="1" applyAlignment="1">
      <alignment horizontal="right" vertical="center" wrapText="1"/>
    </xf>
    <xf numFmtId="0" fontId="23" fillId="0" borderId="69" xfId="0" applyNumberFormat="1" applyFont="1" applyFill="1" applyBorder="1" applyAlignment="1">
      <alignment horizontal="right" vertical="center" wrapText="1"/>
    </xf>
    <xf numFmtId="0" fontId="23" fillId="0" borderId="113" xfId="0" applyNumberFormat="1" applyFont="1" applyFill="1" applyBorder="1" applyAlignment="1">
      <alignment horizontal="right" vertical="center" wrapText="1"/>
    </xf>
    <xf numFmtId="0" fontId="23" fillId="0" borderId="114" xfId="0" applyNumberFormat="1" applyFont="1" applyFill="1" applyBorder="1" applyAlignment="1">
      <alignment horizontal="right" vertical="center" wrapText="1"/>
    </xf>
    <xf numFmtId="4" fontId="32" fillId="0" borderId="49" xfId="0" applyNumberFormat="1" applyFont="1" applyBorder="1" applyAlignment="1">
      <alignment horizontal="center"/>
    </xf>
    <xf numFmtId="4" fontId="32" fillId="0" borderId="50" xfId="0" applyNumberFormat="1" applyFont="1" applyBorder="1" applyAlignment="1">
      <alignment horizontal="center"/>
    </xf>
    <xf numFmtId="4" fontId="32" fillId="0" borderId="68" xfId="0" applyNumberFormat="1" applyFont="1" applyBorder="1" applyAlignment="1">
      <alignment horizontal="center"/>
    </xf>
    <xf numFmtId="4" fontId="32" fillId="0" borderId="69" xfId="0" applyNumberFormat="1" applyFont="1" applyBorder="1" applyAlignment="1">
      <alignment horizontal="center"/>
    </xf>
    <xf numFmtId="4" fontId="32" fillId="0" borderId="55" xfId="0" applyNumberFormat="1" applyFont="1" applyBorder="1" applyAlignment="1">
      <alignment horizontal="center"/>
    </xf>
    <xf numFmtId="4" fontId="32" fillId="0" borderId="56" xfId="0" applyNumberFormat="1" applyFont="1" applyBorder="1" applyAlignment="1">
      <alignment horizontal="center"/>
    </xf>
    <xf numFmtId="0" fontId="44" fillId="0" borderId="0" xfId="0" applyFont="1" applyBorder="1" applyAlignment="1"/>
    <xf numFmtId="0" fontId="32" fillId="0" borderId="0" xfId="0" applyFont="1" applyBorder="1" applyAlignment="1"/>
    <xf numFmtId="0" fontId="45" fillId="0" borderId="0" xfId="0" applyFont="1" applyBorder="1" applyAlignment="1">
      <alignment horizontal="center" wrapText="1"/>
    </xf>
    <xf numFmtId="0" fontId="36" fillId="0" borderId="0" xfId="0" applyFont="1" applyBorder="1" applyAlignment="1">
      <alignment horizontal="left" vertical="top" wrapText="1"/>
    </xf>
    <xf numFmtId="0" fontId="32" fillId="0" borderId="0" xfId="0" applyFont="1" applyBorder="1" applyAlignment="1">
      <alignment wrapText="1"/>
    </xf>
    <xf numFmtId="0" fontId="32" fillId="0" borderId="0" xfId="0" applyFont="1" applyBorder="1"/>
    <xf numFmtId="0" fontId="23" fillId="0" borderId="44" xfId="3" applyFont="1" applyBorder="1" applyAlignment="1">
      <alignment horizontal="center" vertical="center" wrapText="1"/>
    </xf>
    <xf numFmtId="0" fontId="27" fillId="9" borderId="45" xfId="3" applyFont="1" applyFill="1" applyBorder="1" applyAlignment="1">
      <alignment horizontal="right" vertical="center" wrapText="1"/>
    </xf>
    <xf numFmtId="0" fontId="27" fillId="9" borderId="36" xfId="3" applyFont="1" applyFill="1" applyBorder="1" applyAlignment="1">
      <alignment horizontal="right" vertical="center" wrapText="1"/>
    </xf>
    <xf numFmtId="0" fontId="27" fillId="0" borderId="40" xfId="3" applyFont="1" applyBorder="1" applyAlignment="1">
      <alignment horizontal="right" vertical="center" wrapText="1"/>
    </xf>
    <xf numFmtId="0" fontId="27" fillId="0" borderId="31" xfId="3" applyFont="1" applyBorder="1" applyAlignment="1">
      <alignment horizontal="right" vertical="center" wrapText="1"/>
    </xf>
    <xf numFmtId="0" fontId="27" fillId="8" borderId="46" xfId="3" applyFont="1" applyFill="1" applyBorder="1" applyAlignment="1">
      <alignment horizontal="right" vertical="center" wrapText="1"/>
    </xf>
    <xf numFmtId="0" fontId="27" fillId="8" borderId="47" xfId="3" applyFont="1" applyFill="1" applyBorder="1" applyAlignment="1">
      <alignment horizontal="right" vertical="center" wrapText="1"/>
    </xf>
    <xf numFmtId="0" fontId="43" fillId="0" borderId="0" xfId="0" applyFont="1" applyBorder="1" applyAlignment="1">
      <alignment horizontal="left" vertical="top" wrapText="1"/>
    </xf>
    <xf numFmtId="0" fontId="27" fillId="0" borderId="0" xfId="0" applyFont="1" applyAlignment="1">
      <alignment horizontal="center" vertical="center"/>
    </xf>
    <xf numFmtId="0" fontId="23" fillId="0" borderId="0" xfId="0" applyFont="1" applyAlignment="1">
      <alignment horizontal="center" vertical="center"/>
    </xf>
    <xf numFmtId="0" fontId="27" fillId="0" borderId="0" xfId="0" applyFont="1" applyAlignment="1">
      <alignment horizontal="center"/>
    </xf>
    <xf numFmtId="0" fontId="23" fillId="0" borderId="6" xfId="0" applyFont="1" applyBorder="1" applyAlignment="1">
      <alignment horizontal="center"/>
    </xf>
    <xf numFmtId="0" fontId="23" fillId="0" borderId="0" xfId="0" applyFont="1" applyAlignment="1">
      <alignment horizontal="center"/>
    </xf>
    <xf numFmtId="0" fontId="43" fillId="0" borderId="116" xfId="0" applyFont="1" applyBorder="1" applyAlignment="1">
      <alignment horizontal="left" vertical="top" wrapText="1"/>
    </xf>
    <xf numFmtId="4" fontId="27" fillId="0" borderId="0" xfId="0" applyNumberFormat="1" applyFont="1" applyFill="1" applyBorder="1" applyAlignment="1">
      <alignment horizontal="left"/>
    </xf>
    <xf numFmtId="4" fontId="27" fillId="0" borderId="6" xfId="0" applyNumberFormat="1" applyFont="1" applyFill="1" applyBorder="1" applyAlignment="1">
      <alignment horizontal="right"/>
    </xf>
    <xf numFmtId="0" fontId="27" fillId="0" borderId="0" xfId="0" applyFont="1" applyBorder="1" applyAlignment="1">
      <alignment horizontal="left" vertical="center"/>
    </xf>
    <xf numFmtId="4" fontId="27" fillId="0" borderId="10" xfId="0" applyNumberFormat="1" applyFont="1" applyFill="1" applyBorder="1" applyAlignment="1">
      <alignment horizontal="right"/>
    </xf>
    <xf numFmtId="0" fontId="21" fillId="0" borderId="3" xfId="0" applyFont="1" applyBorder="1" applyAlignment="1">
      <alignment horizontal="right" vertical="center"/>
    </xf>
    <xf numFmtId="0" fontId="24" fillId="0" borderId="0" xfId="0" applyFont="1" applyAlignment="1">
      <alignment horizontal="right" vertical="center"/>
    </xf>
    <xf numFmtId="0" fontId="21" fillId="0" borderId="3" xfId="0" applyFont="1" applyBorder="1" applyAlignment="1">
      <alignment horizontal="left" vertical="center"/>
    </xf>
    <xf numFmtId="0" fontId="24" fillId="0" borderId="0" xfId="0" applyFont="1" applyAlignment="1">
      <alignment horizontal="center"/>
    </xf>
    <xf numFmtId="0" fontId="21" fillId="0" borderId="0" xfId="0" applyFont="1" applyAlignment="1">
      <alignment horizontal="left" vertical="center"/>
    </xf>
    <xf numFmtId="0" fontId="21" fillId="0" borderId="0" xfId="0" applyFont="1" applyAlignment="1">
      <alignment horizontal="left"/>
    </xf>
    <xf numFmtId="0" fontId="21" fillId="0" borderId="0" xfId="0" applyFont="1" applyAlignment="1">
      <alignment horizontal="left" vertical="top"/>
    </xf>
    <xf numFmtId="0" fontId="21" fillId="0" borderId="0" xfId="0" applyFont="1" applyAlignment="1">
      <alignment horizontal="center" vertical="center"/>
    </xf>
    <xf numFmtId="0" fontId="21" fillId="0" borderId="0" xfId="0" applyFont="1" applyAlignment="1">
      <alignment horizontal="left" vertical="center" wrapText="1"/>
    </xf>
  </cellXfs>
  <cellStyles count="19">
    <cellStyle name="Comma" xfId="4" builtinId="3"/>
    <cellStyle name="Euro" xfId="1"/>
    <cellStyle name="Explanatory Text" xfId="11" builtinId="53"/>
    <cellStyle name="Good" xfId="5" builtinId="26"/>
    <cellStyle name="KCN Normal_Tender T" xfId="2"/>
    <cellStyle name="Normal" xfId="0" builtinId="0"/>
    <cellStyle name="Normal 10" xfId="7"/>
    <cellStyle name="Normal 17" xfId="6"/>
    <cellStyle name="Normal 17 2" xfId="13"/>
    <cellStyle name="Normal 2" xfId="9"/>
    <cellStyle name="Normal 2 2 2 2 2" xfId="18"/>
    <cellStyle name="Normal 2 3" xfId="16"/>
    <cellStyle name="Normal 4" xfId="8"/>
    <cellStyle name="Normal 4 2" xfId="14"/>
    <cellStyle name="Normal 5 2" xfId="17"/>
    <cellStyle name="Normal 7" xfId="15"/>
    <cellStyle name="Normal_OBJ'F' - spec ELEKTRO" xfId="10"/>
    <cellStyle name="Normal_PRED RN 007_09 - BLANKO" xfId="3"/>
    <cellStyle name="TableStyleLight1" xfId="12"/>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min\!%20backup\Users\Zorica\AppData\Local\Microsoft\Windows\Temporary%20Internet%20Files\Content.Outlook\FVW6VRN8\Copy%20of%20Signalizacija%20Dokazn%20Predmer%20i%20Predracu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min\!%20backup\Users\Zorica\AppData\Local\Microsoft\Windows\Temporary%20Internet%20Files\Content.Outlook\FVW6VRN8\Predmer-Kula-Saobrac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aznica"/>
      <sheetName val="Predrmer"/>
      <sheetName val="Predracun"/>
      <sheetName val="Rekapitulacija"/>
    </sheetNames>
    <sheetDataSet>
      <sheetData sheetId="0">
        <row r="12">
          <cell r="D12">
            <v>1</v>
          </cell>
        </row>
        <row r="13">
          <cell r="D13">
            <v>2</v>
          </cell>
        </row>
        <row r="16">
          <cell r="D16">
            <v>3</v>
          </cell>
        </row>
        <row r="19">
          <cell r="D19">
            <v>3</v>
          </cell>
        </row>
        <row r="23">
          <cell r="D23">
            <v>11</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dmer radova"/>
      <sheetName val="List1"/>
      <sheetName val="Računaljka"/>
    </sheetNames>
    <sheetDataSet>
      <sheetData sheetId="0"/>
      <sheetData sheetId="1"/>
      <sheetData sheetId="2">
        <row r="3">
          <cell r="I3">
            <v>52.800000000000004</v>
          </cell>
        </row>
        <row r="5">
          <cell r="I5">
            <v>11.71875</v>
          </cell>
        </row>
        <row r="7">
          <cell r="I7">
            <v>42.24</v>
          </cell>
        </row>
        <row r="9">
          <cell r="I9">
            <v>16.004999999999999</v>
          </cell>
        </row>
        <row r="11">
          <cell r="I11">
            <v>727.8</v>
          </cell>
        </row>
        <row r="13">
          <cell r="I13">
            <v>18.240749999999998</v>
          </cell>
        </row>
        <row r="20">
          <cell r="I20">
            <v>58.356000000000002</v>
          </cell>
        </row>
        <row r="22">
          <cell r="I22">
            <v>7.8660000000000005</v>
          </cell>
        </row>
        <row r="24">
          <cell r="I24">
            <v>8.8000000000000007</v>
          </cell>
        </row>
        <row r="26">
          <cell r="I26">
            <v>25.936</v>
          </cell>
        </row>
        <row r="28">
          <cell r="I28">
            <v>19.199499999999997</v>
          </cell>
        </row>
        <row r="30">
          <cell r="I30">
            <v>8.8000000000000007</v>
          </cell>
        </row>
        <row r="36">
          <cell r="I36">
            <v>17.576000000000001</v>
          </cell>
        </row>
        <row r="38">
          <cell r="I38">
            <v>27.9</v>
          </cell>
        </row>
        <row r="40">
          <cell r="I40">
            <v>13.5</v>
          </cell>
        </row>
        <row r="42">
          <cell r="I42">
            <v>1.5389999999999999</v>
          </cell>
        </row>
        <row r="44">
          <cell r="I44">
            <v>129.68</v>
          </cell>
        </row>
        <row r="46">
          <cell r="I46">
            <v>79</v>
          </cell>
        </row>
        <row r="50">
          <cell r="I50">
            <v>47.56</v>
          </cell>
        </row>
        <row r="52">
          <cell r="I52">
            <v>28.799999999999997</v>
          </cell>
        </row>
        <row r="59">
          <cell r="I59">
            <v>350</v>
          </cell>
        </row>
        <row r="61">
          <cell r="I61">
            <v>44.800000000000004</v>
          </cell>
        </row>
        <row r="63">
          <cell r="I63">
            <v>51.2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abSelected="1" view="pageBreakPreview" zoomScale="90" zoomScaleNormal="90" zoomScaleSheetLayoutView="90" workbookViewId="0">
      <selection activeCell="I83" sqref="I83"/>
    </sheetView>
  </sheetViews>
  <sheetFormatPr defaultColWidth="9" defaultRowHeight="15.75"/>
  <cols>
    <col min="1" max="1" width="5.125" style="592" customWidth="1"/>
    <col min="2" max="2" width="35.75" style="592" customWidth="1"/>
    <col min="3" max="3" width="9" style="637"/>
    <col min="4" max="4" width="9" style="637" customWidth="1"/>
    <col min="5" max="5" width="13.625" style="638" customWidth="1"/>
    <col min="6" max="6" width="14" style="638" customWidth="1"/>
    <col min="7" max="16384" width="9" style="592"/>
  </cols>
  <sheetData>
    <row r="1" spans="1:6">
      <c r="A1" s="1012" t="s">
        <v>1327</v>
      </c>
      <c r="B1" s="1012"/>
      <c r="C1" s="1012"/>
      <c r="D1" s="1012"/>
      <c r="E1" s="1012"/>
      <c r="F1" s="1012"/>
    </row>
    <row r="2" spans="1:6" ht="23.25" customHeight="1">
      <c r="A2" s="994" t="s">
        <v>1385</v>
      </c>
      <c r="B2" s="994"/>
      <c r="C2" s="994"/>
      <c r="D2" s="994"/>
      <c r="E2" s="994"/>
      <c r="F2" s="994"/>
    </row>
    <row r="3" spans="1:6" s="583" customFormat="1" ht="390" customHeight="1">
      <c r="A3" s="1013" t="s">
        <v>1905</v>
      </c>
      <c r="B3" s="1014"/>
      <c r="C3" s="1014"/>
      <c r="D3" s="1014"/>
      <c r="E3" s="1014"/>
      <c r="F3" s="1014"/>
    </row>
    <row r="4" spans="1:6" ht="16.5" thickBot="1">
      <c r="A4" s="57"/>
      <c r="B4" s="57"/>
      <c r="C4" s="581"/>
      <c r="D4" s="581"/>
      <c r="E4" s="582"/>
      <c r="F4" s="582"/>
    </row>
    <row r="5" spans="1:6" ht="32.25" thickBot="1">
      <c r="A5" s="593" t="s">
        <v>1328</v>
      </c>
      <c r="B5" s="594" t="s">
        <v>1329</v>
      </c>
      <c r="C5" s="595" t="s">
        <v>1330</v>
      </c>
      <c r="D5" s="595" t="s">
        <v>1331</v>
      </c>
      <c r="E5" s="596" t="s">
        <v>1332</v>
      </c>
      <c r="F5" s="597" t="s">
        <v>1333</v>
      </c>
    </row>
    <row r="6" spans="1:6" ht="16.5" thickBot="1">
      <c r="A6" s="598" t="s">
        <v>1449</v>
      </c>
      <c r="B6" s="599" t="s">
        <v>387</v>
      </c>
      <c r="C6" s="600"/>
      <c r="D6" s="600"/>
      <c r="E6" s="601"/>
      <c r="F6" s="601"/>
    </row>
    <row r="7" spans="1:6" ht="47.25">
      <c r="A7" s="986">
        <v>1</v>
      </c>
      <c r="B7" s="584" t="s">
        <v>1334</v>
      </c>
      <c r="C7" s="602"/>
      <c r="D7" s="603"/>
      <c r="E7" s="604"/>
      <c r="F7" s="604"/>
    </row>
    <row r="8" spans="1:6" ht="94.5">
      <c r="A8" s="986"/>
      <c r="B8" s="584" t="s">
        <v>1335</v>
      </c>
      <c r="C8" s="602"/>
      <c r="D8" s="605"/>
      <c r="E8" s="606"/>
      <c r="F8" s="606"/>
    </row>
    <row r="9" spans="1:6" ht="63">
      <c r="A9" s="986"/>
      <c r="B9" s="584" t="s">
        <v>1336</v>
      </c>
      <c r="C9" s="602"/>
      <c r="D9" s="605"/>
      <c r="E9" s="606"/>
      <c r="F9" s="606"/>
    </row>
    <row r="10" spans="1:6" ht="16.5" thickBot="1">
      <c r="A10" s="1009"/>
      <c r="B10" s="607" t="s">
        <v>1337</v>
      </c>
      <c r="C10" s="608" t="s">
        <v>1338</v>
      </c>
      <c r="D10" s="585">
        <v>1</v>
      </c>
      <c r="E10" s="609"/>
      <c r="F10" s="609"/>
    </row>
    <row r="11" spans="1:6" ht="31.5">
      <c r="A11" s="1010">
        <v>2</v>
      </c>
      <c r="B11" s="584" t="s">
        <v>1339</v>
      </c>
      <c r="C11" s="1003"/>
      <c r="D11" s="1005"/>
      <c r="E11" s="1007"/>
      <c r="F11" s="1007"/>
    </row>
    <row r="12" spans="1:6" ht="94.5">
      <c r="A12" s="986"/>
      <c r="B12" s="584" t="s">
        <v>1340</v>
      </c>
      <c r="C12" s="988"/>
      <c r="D12" s="990"/>
      <c r="E12" s="992"/>
      <c r="F12" s="992"/>
    </row>
    <row r="13" spans="1:6" ht="78.75">
      <c r="A13" s="986"/>
      <c r="B13" s="584" t="s">
        <v>1341</v>
      </c>
      <c r="C13" s="988"/>
      <c r="D13" s="990"/>
      <c r="E13" s="992"/>
      <c r="F13" s="992"/>
    </row>
    <row r="14" spans="1:6" ht="16.5" thickBot="1">
      <c r="A14" s="1009"/>
      <c r="B14" s="607"/>
      <c r="C14" s="608" t="s">
        <v>1338</v>
      </c>
      <c r="D14" s="585">
        <v>2</v>
      </c>
      <c r="E14" s="609"/>
      <c r="F14" s="609"/>
    </row>
    <row r="15" spans="1:6" ht="16.5" thickBot="1">
      <c r="A15" s="610"/>
      <c r="B15" s="611" t="s">
        <v>414</v>
      </c>
      <c r="C15" s="608"/>
      <c r="D15" s="585"/>
      <c r="E15" s="609"/>
      <c r="F15" s="609"/>
    </row>
    <row r="16" spans="1:6">
      <c r="A16" s="612"/>
      <c r="B16" s="1015" t="s">
        <v>1370</v>
      </c>
      <c r="C16" s="1017"/>
      <c r="D16" s="1005"/>
      <c r="E16" s="1019"/>
      <c r="F16" s="1019"/>
    </row>
    <row r="17" spans="1:6" ht="16.5" thickBot="1">
      <c r="A17" s="613" t="s">
        <v>1450</v>
      </c>
      <c r="B17" s="1016"/>
      <c r="C17" s="1018"/>
      <c r="D17" s="1006"/>
      <c r="E17" s="1020"/>
      <c r="F17" s="1020"/>
    </row>
    <row r="18" spans="1:6" ht="78.75">
      <c r="A18" s="985">
        <v>1</v>
      </c>
      <c r="B18" s="584" t="s">
        <v>1908</v>
      </c>
      <c r="C18" s="602"/>
      <c r="D18" s="605"/>
      <c r="E18" s="606"/>
      <c r="F18" s="606"/>
    </row>
    <row r="19" spans="1:6" ht="16.5" thickBot="1">
      <c r="A19" s="1009"/>
      <c r="B19" s="607" t="s">
        <v>1337</v>
      </c>
      <c r="C19" s="608" t="s">
        <v>1338</v>
      </c>
      <c r="D19" s="585">
        <v>1</v>
      </c>
      <c r="E19" s="609"/>
      <c r="F19" s="609"/>
    </row>
    <row r="20" spans="1:6" ht="56.25" customHeight="1">
      <c r="A20" s="1010">
        <v>2</v>
      </c>
      <c r="B20" s="584" t="s">
        <v>1342</v>
      </c>
      <c r="C20" s="1003"/>
      <c r="D20" s="1005"/>
      <c r="E20" s="1007"/>
      <c r="F20" s="1007"/>
    </row>
    <row r="21" spans="1:6" ht="75.75" customHeight="1">
      <c r="A21" s="986"/>
      <c r="B21" s="584" t="s">
        <v>1911</v>
      </c>
      <c r="C21" s="988"/>
      <c r="D21" s="990"/>
      <c r="E21" s="992"/>
      <c r="F21" s="992"/>
    </row>
    <row r="22" spans="1:6" ht="31.5">
      <c r="A22" s="986"/>
      <c r="B22" s="584" t="s">
        <v>1909</v>
      </c>
      <c r="C22" s="988"/>
      <c r="D22" s="990"/>
      <c r="E22" s="992"/>
      <c r="F22" s="992"/>
    </row>
    <row r="23" spans="1:6" ht="47.25">
      <c r="A23" s="986"/>
      <c r="B23" s="584" t="s">
        <v>1343</v>
      </c>
      <c r="C23" s="988"/>
      <c r="D23" s="990"/>
      <c r="E23" s="992"/>
      <c r="F23" s="992"/>
    </row>
    <row r="24" spans="1:6" ht="16.5" thickBot="1">
      <c r="A24" s="1009"/>
      <c r="B24" s="607" t="s">
        <v>392</v>
      </c>
      <c r="C24" s="608" t="s">
        <v>393</v>
      </c>
      <c r="D24" s="585">
        <v>20.21</v>
      </c>
      <c r="E24" s="609"/>
      <c r="F24" s="609"/>
    </row>
    <row r="25" spans="1:6" ht="78.75">
      <c r="A25" s="1010">
        <v>3</v>
      </c>
      <c r="B25" s="584" t="s">
        <v>1344</v>
      </c>
      <c r="C25" s="1003"/>
      <c r="D25" s="1005"/>
      <c r="E25" s="1007"/>
      <c r="F25" s="1007"/>
    </row>
    <row r="26" spans="1:6" ht="31.5">
      <c r="A26" s="986"/>
      <c r="B26" s="584" t="s">
        <v>1909</v>
      </c>
      <c r="C26" s="988"/>
      <c r="D26" s="990"/>
      <c r="E26" s="992"/>
      <c r="F26" s="992"/>
    </row>
    <row r="27" spans="1:6" ht="31.5">
      <c r="A27" s="986"/>
      <c r="B27" s="584" t="s">
        <v>1345</v>
      </c>
      <c r="C27" s="988"/>
      <c r="D27" s="990"/>
      <c r="E27" s="992"/>
      <c r="F27" s="992"/>
    </row>
    <row r="28" spans="1:6">
      <c r="A28" s="986"/>
      <c r="B28" s="584" t="s">
        <v>1346</v>
      </c>
      <c r="C28" s="988"/>
      <c r="D28" s="990"/>
      <c r="E28" s="992"/>
      <c r="F28" s="992"/>
    </row>
    <row r="29" spans="1:6" ht="16.5" thickBot="1">
      <c r="A29" s="1009"/>
      <c r="B29" s="607" t="s">
        <v>392</v>
      </c>
      <c r="C29" s="608" t="s">
        <v>393</v>
      </c>
      <c r="D29" s="585">
        <v>2.88</v>
      </c>
      <c r="E29" s="609"/>
      <c r="F29" s="609"/>
    </row>
    <row r="30" spans="1:6" ht="141.75">
      <c r="A30" s="1010">
        <v>4</v>
      </c>
      <c r="B30" s="584" t="s">
        <v>1347</v>
      </c>
      <c r="C30" s="602"/>
      <c r="D30" s="605"/>
      <c r="E30" s="606"/>
      <c r="F30" s="606"/>
    </row>
    <row r="31" spans="1:6" ht="31.5">
      <c r="A31" s="986"/>
      <c r="B31" s="584" t="s">
        <v>1909</v>
      </c>
      <c r="C31" s="602"/>
      <c r="D31" s="605"/>
      <c r="E31" s="606"/>
      <c r="F31" s="606"/>
    </row>
    <row r="32" spans="1:6" ht="16.5" thickBot="1">
      <c r="A32" s="1009"/>
      <c r="B32" s="607" t="s">
        <v>410</v>
      </c>
      <c r="C32" s="608" t="s">
        <v>399</v>
      </c>
      <c r="D32" s="585">
        <v>373</v>
      </c>
      <c r="E32" s="609"/>
      <c r="F32" s="609"/>
    </row>
    <row r="33" spans="1:6" ht="141.75">
      <c r="A33" s="1010">
        <v>5</v>
      </c>
      <c r="B33" s="584" t="s">
        <v>1451</v>
      </c>
      <c r="C33" s="1003"/>
      <c r="D33" s="1005"/>
      <c r="E33" s="1007"/>
      <c r="F33" s="1007"/>
    </row>
    <row r="34" spans="1:6" ht="31.5">
      <c r="A34" s="986"/>
      <c r="B34" s="584" t="s">
        <v>1909</v>
      </c>
      <c r="C34" s="988"/>
      <c r="D34" s="990"/>
      <c r="E34" s="992"/>
      <c r="F34" s="992"/>
    </row>
    <row r="35" spans="1:6">
      <c r="A35" s="986"/>
      <c r="B35" s="584" t="s">
        <v>1348</v>
      </c>
      <c r="C35" s="988"/>
      <c r="D35" s="990"/>
      <c r="E35" s="992"/>
      <c r="F35" s="992"/>
    </row>
    <row r="36" spans="1:6" ht="16.5" thickBot="1">
      <c r="A36" s="1011"/>
      <c r="B36" s="607" t="s">
        <v>392</v>
      </c>
      <c r="C36" s="608" t="s">
        <v>393</v>
      </c>
      <c r="D36" s="585">
        <v>185.8</v>
      </c>
      <c r="E36" s="609"/>
      <c r="F36" s="609"/>
    </row>
    <row r="37" spans="1:6" ht="110.25">
      <c r="A37" s="985">
        <v>6</v>
      </c>
      <c r="B37" s="584" t="s">
        <v>1452</v>
      </c>
      <c r="C37" s="1003"/>
      <c r="D37" s="1005"/>
      <c r="E37" s="1007"/>
      <c r="F37" s="1007"/>
    </row>
    <row r="38" spans="1:6">
      <c r="A38" s="986"/>
      <c r="B38" s="584" t="s">
        <v>1349</v>
      </c>
      <c r="C38" s="988"/>
      <c r="D38" s="990"/>
      <c r="E38" s="992"/>
      <c r="F38" s="992"/>
    </row>
    <row r="39" spans="1:6" ht="31.5">
      <c r="A39" s="986"/>
      <c r="B39" s="584" t="s">
        <v>1909</v>
      </c>
      <c r="C39" s="602"/>
      <c r="D39" s="605"/>
      <c r="E39" s="606"/>
      <c r="F39" s="606"/>
    </row>
    <row r="40" spans="1:6" ht="16.5" thickBot="1">
      <c r="A40" s="1011"/>
      <c r="B40" s="607" t="s">
        <v>410</v>
      </c>
      <c r="C40" s="608" t="s">
        <v>399</v>
      </c>
      <c r="D40" s="585">
        <v>409.76</v>
      </c>
      <c r="E40" s="609"/>
      <c r="F40" s="609"/>
    </row>
    <row r="41" spans="1:6" ht="47.25">
      <c r="A41" s="985">
        <v>7</v>
      </c>
      <c r="B41" s="584" t="s">
        <v>1350</v>
      </c>
      <c r="C41" s="1003"/>
      <c r="D41" s="1005"/>
      <c r="E41" s="1007"/>
      <c r="F41" s="1007"/>
    </row>
    <row r="42" spans="1:6">
      <c r="A42" s="986"/>
      <c r="B42" s="584" t="s">
        <v>1351</v>
      </c>
      <c r="C42" s="988"/>
      <c r="D42" s="990"/>
      <c r="E42" s="992"/>
      <c r="F42" s="992"/>
    </row>
    <row r="43" spans="1:6" ht="31.5">
      <c r="A43" s="986"/>
      <c r="B43" s="584" t="s">
        <v>1909</v>
      </c>
      <c r="C43" s="602"/>
      <c r="D43" s="605"/>
      <c r="E43" s="606"/>
      <c r="F43" s="606"/>
    </row>
    <row r="44" spans="1:6" ht="16.5" thickBot="1">
      <c r="A44" s="1009"/>
      <c r="B44" s="607" t="s">
        <v>410</v>
      </c>
      <c r="C44" s="608" t="s">
        <v>399</v>
      </c>
      <c r="D44" s="585">
        <v>165.59</v>
      </c>
      <c r="E44" s="609"/>
      <c r="F44" s="609"/>
    </row>
    <row r="45" spans="1:6" ht="57" customHeight="1">
      <c r="A45" s="1010">
        <v>8</v>
      </c>
      <c r="B45" s="584" t="s">
        <v>1352</v>
      </c>
      <c r="C45" s="1003"/>
      <c r="D45" s="1005"/>
      <c r="E45" s="1007"/>
      <c r="F45" s="1007"/>
    </row>
    <row r="46" spans="1:6" ht="39" customHeight="1">
      <c r="A46" s="986"/>
      <c r="B46" s="584" t="s">
        <v>1453</v>
      </c>
      <c r="C46" s="988"/>
      <c r="D46" s="990"/>
      <c r="E46" s="992"/>
      <c r="F46" s="992"/>
    </row>
    <row r="47" spans="1:6" ht="52.5" customHeight="1">
      <c r="A47" s="986"/>
      <c r="B47" s="584" t="s">
        <v>1912</v>
      </c>
      <c r="C47" s="988"/>
      <c r="D47" s="990"/>
      <c r="E47" s="992"/>
      <c r="F47" s="992"/>
    </row>
    <row r="48" spans="1:6">
      <c r="A48" s="986"/>
      <c r="B48" s="584" t="s">
        <v>1353</v>
      </c>
      <c r="C48" s="988"/>
      <c r="D48" s="990"/>
      <c r="E48" s="992"/>
      <c r="F48" s="992"/>
    </row>
    <row r="49" spans="1:6">
      <c r="A49" s="986"/>
      <c r="B49" s="584" t="s">
        <v>1354</v>
      </c>
      <c r="C49" s="988"/>
      <c r="D49" s="990"/>
      <c r="E49" s="992"/>
      <c r="F49" s="992"/>
    </row>
    <row r="50" spans="1:6" ht="31.5">
      <c r="A50" s="986"/>
      <c r="B50" s="584" t="s">
        <v>1355</v>
      </c>
      <c r="C50" s="988"/>
      <c r="D50" s="990"/>
      <c r="E50" s="992"/>
      <c r="F50" s="992"/>
    </row>
    <row r="51" spans="1:6" ht="31.5">
      <c r="A51" s="986"/>
      <c r="B51" s="584" t="s">
        <v>1909</v>
      </c>
      <c r="C51" s="602"/>
      <c r="D51" s="605"/>
      <c r="E51" s="606"/>
      <c r="F51" s="606"/>
    </row>
    <row r="52" spans="1:6" ht="16.5" thickBot="1">
      <c r="A52" s="1009"/>
      <c r="B52" s="607" t="s">
        <v>392</v>
      </c>
      <c r="C52" s="608" t="s">
        <v>393</v>
      </c>
      <c r="D52" s="585">
        <v>237.53</v>
      </c>
      <c r="E52" s="609"/>
      <c r="F52" s="609"/>
    </row>
    <row r="53" spans="1:6" ht="47.25">
      <c r="A53" s="1010">
        <v>9</v>
      </c>
      <c r="B53" s="586" t="s">
        <v>1356</v>
      </c>
      <c r="C53" s="614"/>
      <c r="D53" s="605"/>
      <c r="E53" s="606"/>
      <c r="F53" s="606"/>
    </row>
    <row r="54" spans="1:6">
      <c r="A54" s="986"/>
      <c r="B54" s="586" t="s">
        <v>1357</v>
      </c>
      <c r="C54" s="988"/>
      <c r="D54" s="990"/>
      <c r="E54" s="992"/>
      <c r="F54" s="992"/>
    </row>
    <row r="55" spans="1:6" ht="31.5">
      <c r="A55" s="986"/>
      <c r="B55" s="586" t="s">
        <v>1358</v>
      </c>
      <c r="C55" s="988"/>
      <c r="D55" s="990"/>
      <c r="E55" s="992"/>
      <c r="F55" s="992"/>
    </row>
    <row r="56" spans="1:6">
      <c r="A56" s="986"/>
      <c r="B56" s="586" t="s">
        <v>1359</v>
      </c>
      <c r="C56" s="988"/>
      <c r="D56" s="990"/>
      <c r="E56" s="992"/>
      <c r="F56" s="992"/>
    </row>
    <row r="57" spans="1:6" ht="59.25" customHeight="1">
      <c r="A57" s="986"/>
      <c r="B57" s="586" t="s">
        <v>1360</v>
      </c>
      <c r="C57" s="614"/>
      <c r="D57" s="605"/>
      <c r="E57" s="606"/>
      <c r="F57" s="606"/>
    </row>
    <row r="58" spans="1:6" ht="31.5">
      <c r="A58" s="986"/>
      <c r="B58" s="587" t="s">
        <v>1909</v>
      </c>
      <c r="C58" s="602"/>
      <c r="D58" s="605"/>
      <c r="E58" s="606"/>
      <c r="F58" s="606"/>
    </row>
    <row r="59" spans="1:6" ht="16.5" thickBot="1">
      <c r="A59" s="1009"/>
      <c r="B59" s="615" t="s">
        <v>392</v>
      </c>
      <c r="C59" s="616" t="s">
        <v>393</v>
      </c>
      <c r="D59" s="617">
        <v>78.28</v>
      </c>
      <c r="E59" s="618"/>
      <c r="F59" s="618"/>
    </row>
    <row r="60" spans="1:6" ht="111" thickBot="1">
      <c r="A60" s="985">
        <v>11</v>
      </c>
      <c r="B60" s="619" t="s">
        <v>1910</v>
      </c>
      <c r="C60" s="620"/>
      <c r="D60" s="621"/>
      <c r="E60" s="622"/>
      <c r="F60" s="622"/>
    </row>
    <row r="61" spans="1:6" ht="16.5" thickBot="1">
      <c r="A61" s="1009"/>
      <c r="B61" s="607" t="s">
        <v>1361</v>
      </c>
      <c r="C61" s="608" t="s">
        <v>390</v>
      </c>
      <c r="D61" s="585">
        <v>1</v>
      </c>
      <c r="E61" s="609"/>
      <c r="F61" s="609"/>
    </row>
    <row r="62" spans="1:6" ht="16.5" thickBot="1">
      <c r="A62" s="610"/>
      <c r="B62" s="607" t="s">
        <v>1371</v>
      </c>
      <c r="C62" s="608"/>
      <c r="D62" s="585"/>
      <c r="E62" s="609"/>
      <c r="F62" s="609"/>
    </row>
    <row r="63" spans="1:6" ht="16.5" thickBot="1">
      <c r="A63" s="623"/>
      <c r="B63" s="624"/>
      <c r="C63" s="608"/>
      <c r="D63" s="585"/>
      <c r="E63" s="625"/>
      <c r="F63" s="625"/>
    </row>
    <row r="64" spans="1:6">
      <c r="A64" s="626"/>
      <c r="B64" s="627"/>
      <c r="C64" s="1003"/>
      <c r="D64" s="1005"/>
      <c r="E64" s="1007"/>
      <c r="F64" s="1007"/>
    </row>
    <row r="65" spans="1:6" ht="16.5" thickBot="1">
      <c r="A65" s="610" t="s">
        <v>1454</v>
      </c>
      <c r="B65" s="628" t="s">
        <v>1386</v>
      </c>
      <c r="C65" s="1004"/>
      <c r="D65" s="1006"/>
      <c r="E65" s="1008"/>
      <c r="F65" s="1008"/>
    </row>
    <row r="66" spans="1:6" ht="110.25">
      <c r="A66" s="985">
        <v>10</v>
      </c>
      <c r="B66" s="584" t="s">
        <v>1563</v>
      </c>
      <c r="C66" s="987"/>
      <c r="D66" s="989"/>
      <c r="E66" s="991"/>
      <c r="F66" s="991"/>
    </row>
    <row r="67" spans="1:6" ht="69" customHeight="1">
      <c r="A67" s="986"/>
      <c r="B67" s="584" t="s">
        <v>1362</v>
      </c>
      <c r="C67" s="988"/>
      <c r="D67" s="990"/>
      <c r="E67" s="992"/>
      <c r="F67" s="992"/>
    </row>
    <row r="68" spans="1:6">
      <c r="A68" s="986"/>
      <c r="B68" s="584" t="s">
        <v>1363</v>
      </c>
      <c r="C68" s="602"/>
      <c r="D68" s="605"/>
      <c r="E68" s="606"/>
      <c r="F68" s="606"/>
    </row>
    <row r="69" spans="1:6" ht="16.5" thickBot="1">
      <c r="A69" s="986"/>
      <c r="B69" s="584" t="s">
        <v>1364</v>
      </c>
      <c r="C69" s="602" t="s">
        <v>393</v>
      </c>
      <c r="D69" s="605">
        <v>111.63</v>
      </c>
      <c r="E69" s="606"/>
      <c r="F69" s="606"/>
    </row>
    <row r="70" spans="1:6" ht="16.5" thickBot="1">
      <c r="A70" s="629"/>
      <c r="B70" s="630" t="s">
        <v>1387</v>
      </c>
      <c r="C70" s="631"/>
      <c r="D70" s="632"/>
      <c r="E70" s="633"/>
      <c r="F70" s="633"/>
    </row>
    <row r="71" spans="1:6">
      <c r="A71" s="146"/>
      <c r="B71" s="634"/>
      <c r="C71" s="190"/>
      <c r="D71" s="635"/>
      <c r="E71" s="636"/>
      <c r="F71" s="636"/>
    </row>
    <row r="75" spans="1:6">
      <c r="A75" s="995"/>
      <c r="B75" s="995"/>
      <c r="C75" s="995"/>
      <c r="D75" s="995"/>
      <c r="E75" s="636"/>
      <c r="F75" s="636"/>
    </row>
    <row r="76" spans="1:6" ht="16.5" thickBot="1">
      <c r="A76" s="146"/>
      <c r="B76" s="146"/>
      <c r="C76" s="190"/>
      <c r="D76" s="190"/>
      <c r="E76" s="636"/>
      <c r="F76" s="636"/>
    </row>
    <row r="77" spans="1:6" ht="16.5" thickBot="1">
      <c r="A77" s="996" t="s">
        <v>501</v>
      </c>
      <c r="B77" s="997"/>
      <c r="C77" s="997"/>
      <c r="D77" s="997"/>
      <c r="E77" s="997"/>
      <c r="F77" s="998"/>
    </row>
    <row r="78" spans="1:6" ht="16.5" thickBot="1">
      <c r="A78" s="640"/>
      <c r="B78" s="628" t="s">
        <v>387</v>
      </c>
      <c r="C78" s="641"/>
      <c r="D78" s="608"/>
      <c r="E78" s="642"/>
      <c r="F78" s="609"/>
    </row>
    <row r="79" spans="1:6" ht="16.5" thickBot="1">
      <c r="A79" s="640"/>
      <c r="B79" s="628" t="s">
        <v>1372</v>
      </c>
      <c r="C79" s="641"/>
      <c r="D79" s="608"/>
      <c r="E79" s="642"/>
      <c r="F79" s="609"/>
    </row>
    <row r="80" spans="1:6" ht="16.5" thickBot="1">
      <c r="A80" s="640"/>
      <c r="B80" s="628" t="s">
        <v>1386</v>
      </c>
      <c r="C80" s="641"/>
      <c r="D80" s="608"/>
      <c r="E80" s="642"/>
      <c r="F80" s="609"/>
    </row>
    <row r="81" spans="1:6" ht="16.5" customHeight="1" thickBot="1">
      <c r="A81" s="613"/>
      <c r="B81" s="999" t="s">
        <v>1365</v>
      </c>
      <c r="C81" s="1000"/>
      <c r="D81" s="1001"/>
      <c r="E81" s="643"/>
      <c r="F81" s="609"/>
    </row>
    <row r="82" spans="1:6" ht="16.5" customHeight="1">
      <c r="A82" s="57"/>
      <c r="B82" s="57"/>
      <c r="C82" s="581"/>
      <c r="D82" s="581"/>
      <c r="E82" s="582"/>
      <c r="F82" s="582"/>
    </row>
    <row r="83" spans="1:6">
      <c r="A83" s="1002"/>
      <c r="B83" s="1002"/>
      <c r="C83" s="1002"/>
      <c r="D83" s="1002"/>
      <c r="E83" s="1002"/>
      <c r="F83" s="582"/>
    </row>
    <row r="84" spans="1:6">
      <c r="A84" s="239"/>
      <c r="B84" s="57"/>
      <c r="C84" s="581"/>
      <c r="D84" s="581"/>
      <c r="E84" s="582"/>
      <c r="F84" s="582"/>
    </row>
    <row r="85" spans="1:6">
      <c r="A85" s="239"/>
      <c r="B85" s="57"/>
      <c r="C85" s="581"/>
      <c r="D85" s="581"/>
      <c r="E85" s="582"/>
      <c r="F85" s="582"/>
    </row>
    <row r="86" spans="1:6">
      <c r="A86" s="239"/>
      <c r="B86" s="57"/>
      <c r="C86" s="581"/>
      <c r="D86" s="581"/>
      <c r="E86" s="582"/>
      <c r="F86" s="582"/>
    </row>
    <row r="87" spans="1:6">
      <c r="A87" s="239"/>
      <c r="B87" s="57"/>
      <c r="C87" s="581"/>
      <c r="D87" s="581"/>
      <c r="E87" s="582"/>
      <c r="F87" s="582"/>
    </row>
    <row r="88" spans="1:6">
      <c r="A88" s="239"/>
      <c r="B88" s="57"/>
      <c r="C88" s="581"/>
      <c r="D88" s="581"/>
      <c r="E88" s="582"/>
      <c r="F88" s="582"/>
    </row>
    <row r="89" spans="1:6">
      <c r="A89" s="240"/>
      <c r="B89" s="57"/>
      <c r="C89" s="581"/>
      <c r="D89" s="581"/>
      <c r="E89" s="582"/>
      <c r="F89" s="582"/>
    </row>
    <row r="90" spans="1:6">
      <c r="A90" s="241"/>
      <c r="B90" s="57"/>
      <c r="C90" s="581"/>
      <c r="D90" s="581"/>
      <c r="E90" s="582"/>
      <c r="F90" s="582"/>
    </row>
    <row r="91" spans="1:6">
      <c r="A91" s="588"/>
      <c r="B91" s="57"/>
      <c r="C91" s="581"/>
      <c r="D91" s="581"/>
      <c r="E91" s="582"/>
      <c r="F91" s="582"/>
    </row>
    <row r="92" spans="1:6">
      <c r="A92" s="588"/>
      <c r="B92" s="57"/>
      <c r="C92" s="581"/>
      <c r="D92" s="581"/>
      <c r="E92" s="582"/>
      <c r="F92" s="582"/>
    </row>
    <row r="93" spans="1:6">
      <c r="A93" s="588"/>
      <c r="B93" s="57"/>
      <c r="C93" s="581"/>
      <c r="D93" s="581"/>
      <c r="E93" s="582"/>
      <c r="F93" s="582"/>
    </row>
    <row r="94" spans="1:6">
      <c r="A94" s="240"/>
      <c r="B94" s="57"/>
      <c r="C94" s="581"/>
      <c r="D94" s="581"/>
      <c r="E94" s="582"/>
      <c r="F94" s="582"/>
    </row>
    <row r="95" spans="1:6">
      <c r="A95" s="588"/>
      <c r="B95" s="57"/>
      <c r="C95" s="581"/>
      <c r="D95" s="581"/>
      <c r="E95" s="582"/>
      <c r="F95" s="582"/>
    </row>
    <row r="96" spans="1:6">
      <c r="A96" s="588"/>
      <c r="B96" s="57"/>
      <c r="C96" s="581"/>
      <c r="D96" s="581"/>
      <c r="E96" s="582"/>
      <c r="F96" s="582"/>
    </row>
    <row r="97" spans="1:6" ht="14.25" customHeight="1">
      <c r="A97" s="57"/>
      <c r="B97" s="589"/>
      <c r="C97" s="581"/>
      <c r="D97" s="993"/>
      <c r="E97" s="993"/>
      <c r="F97" s="993"/>
    </row>
    <row r="98" spans="1:6">
      <c r="A98" s="57"/>
      <c r="B98" s="57"/>
      <c r="C98" s="581"/>
      <c r="D98" s="581"/>
      <c r="E98" s="582"/>
      <c r="F98" s="582"/>
    </row>
    <row r="99" spans="1:6">
      <c r="A99" s="57"/>
      <c r="B99" s="581"/>
      <c r="C99" s="581"/>
      <c r="D99" s="994"/>
      <c r="E99" s="994"/>
      <c r="F99" s="994"/>
    </row>
    <row r="100" spans="1:6">
      <c r="A100" s="57"/>
      <c r="B100" s="591"/>
      <c r="C100" s="581"/>
      <c r="D100" s="994"/>
      <c r="E100" s="994"/>
      <c r="F100" s="994"/>
    </row>
    <row r="101" spans="1:6">
      <c r="A101" s="57"/>
      <c r="B101" s="57"/>
      <c r="C101" s="581"/>
      <c r="D101" s="581"/>
      <c r="E101" s="582"/>
      <c r="F101" s="582"/>
    </row>
  </sheetData>
  <mergeCells count="68">
    <mergeCell ref="A18:A19"/>
    <mergeCell ref="A1:F1"/>
    <mergeCell ref="A2:F2"/>
    <mergeCell ref="A3:F3"/>
    <mergeCell ref="A7:A10"/>
    <mergeCell ref="A11:A14"/>
    <mergeCell ref="C11:C13"/>
    <mergeCell ref="D11:D13"/>
    <mergeCell ref="E11:E13"/>
    <mergeCell ref="F11:F13"/>
    <mergeCell ref="B16:B17"/>
    <mergeCell ref="C16:C17"/>
    <mergeCell ref="D16:D17"/>
    <mergeCell ref="E16:E17"/>
    <mergeCell ref="F16:F17"/>
    <mergeCell ref="F33:F35"/>
    <mergeCell ref="A20:A24"/>
    <mergeCell ref="C20:C23"/>
    <mergeCell ref="D20:D23"/>
    <mergeCell ref="E20:E23"/>
    <mergeCell ref="F20:F23"/>
    <mergeCell ref="A25:A29"/>
    <mergeCell ref="C25:C28"/>
    <mergeCell ref="D25:D28"/>
    <mergeCell ref="E25:E28"/>
    <mergeCell ref="F25:F28"/>
    <mergeCell ref="A30:A32"/>
    <mergeCell ref="A33:A36"/>
    <mergeCell ref="C33:C35"/>
    <mergeCell ref="D33:D35"/>
    <mergeCell ref="E33:E35"/>
    <mergeCell ref="A41:A44"/>
    <mergeCell ref="C41:C42"/>
    <mergeCell ref="D41:D42"/>
    <mergeCell ref="E41:E42"/>
    <mergeCell ref="F41:F42"/>
    <mergeCell ref="A37:A40"/>
    <mergeCell ref="C37:C38"/>
    <mergeCell ref="D37:D38"/>
    <mergeCell ref="E37:E38"/>
    <mergeCell ref="F37:F38"/>
    <mergeCell ref="A53:A59"/>
    <mergeCell ref="C54:C56"/>
    <mergeCell ref="D54:D56"/>
    <mergeCell ref="E54:E56"/>
    <mergeCell ref="F54:F56"/>
    <mergeCell ref="A45:A52"/>
    <mergeCell ref="C45:C50"/>
    <mergeCell ref="D45:D50"/>
    <mergeCell ref="E45:E50"/>
    <mergeCell ref="F45:F50"/>
    <mergeCell ref="C64:C65"/>
    <mergeCell ref="D64:D65"/>
    <mergeCell ref="E64:E65"/>
    <mergeCell ref="F64:F65"/>
    <mergeCell ref="A60:A61"/>
    <mergeCell ref="D99:F99"/>
    <mergeCell ref="D100:F100"/>
    <mergeCell ref="A75:D75"/>
    <mergeCell ref="A77:F77"/>
    <mergeCell ref="B81:D81"/>
    <mergeCell ref="A83:E83"/>
    <mergeCell ref="A66:A69"/>
    <mergeCell ref="C66:C67"/>
    <mergeCell ref="D66:D67"/>
    <mergeCell ref="E66:E67"/>
    <mergeCell ref="D97:F97"/>
    <mergeCell ref="F66:F67"/>
  </mergeCells>
  <pageMargins left="0.7" right="0.7" top="0.75" bottom="0.75" header="0.3" footer="0.3"/>
  <pageSetup paperSize="9" scale="93" orientation="portrait" r:id="rId1"/>
  <rowBreaks count="2" manualBreakCount="2">
    <brk id="10" max="16383" man="1"/>
    <brk id="59"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7"/>
  <sheetViews>
    <sheetView view="pageBreakPreview" topLeftCell="A250" zoomScale="90" zoomScaleNormal="100" zoomScaleSheetLayoutView="90" workbookViewId="0">
      <selection activeCell="T405" sqref="T405"/>
    </sheetView>
  </sheetViews>
  <sheetFormatPr defaultColWidth="9" defaultRowHeight="15.75"/>
  <cols>
    <col min="1" max="1" width="4.25" style="644" customWidth="1"/>
    <col min="2" max="8" width="9" style="644"/>
    <col min="9" max="9" width="12.5" style="644" customWidth="1"/>
    <col min="10" max="10" width="15.875" style="644" customWidth="1"/>
    <col min="11" max="11" width="15.875" style="644" hidden="1" customWidth="1"/>
    <col min="12" max="17" width="9" style="644" hidden="1" customWidth="1"/>
    <col min="18" max="16384" width="9" style="644"/>
  </cols>
  <sheetData>
    <row r="1" spans="1:17" ht="19.5">
      <c r="A1" s="863" t="s">
        <v>560</v>
      </c>
      <c r="B1" s="514"/>
      <c r="G1" s="514"/>
      <c r="H1" s="514"/>
      <c r="I1" s="514"/>
      <c r="J1" s="514"/>
      <c r="K1" s="514"/>
      <c r="L1" s="514"/>
      <c r="M1" s="514"/>
      <c r="N1" s="514"/>
      <c r="O1" s="514"/>
      <c r="P1" s="514"/>
    </row>
    <row r="2" spans="1:17">
      <c r="A2" s="514"/>
      <c r="B2" s="864"/>
      <c r="G2" s="514"/>
      <c r="H2" s="514"/>
      <c r="I2" s="514"/>
      <c r="J2" s="514"/>
      <c r="K2" s="515">
        <v>120</v>
      </c>
      <c r="L2" s="514"/>
      <c r="M2" s="514"/>
      <c r="N2" s="514"/>
      <c r="O2" s="514"/>
      <c r="P2" s="514"/>
    </row>
    <row r="3" spans="1:17" ht="333" customHeight="1">
      <c r="A3" s="1100" t="s">
        <v>1906</v>
      </c>
      <c r="B3" s="1100"/>
      <c r="C3" s="1100"/>
      <c r="D3" s="1100"/>
      <c r="E3" s="1100"/>
      <c r="F3" s="1100"/>
      <c r="G3" s="1100"/>
      <c r="H3" s="1100"/>
      <c r="I3" s="1100"/>
      <c r="J3" s="1100"/>
      <c r="K3" s="514"/>
      <c r="L3" s="514"/>
      <c r="M3" s="514"/>
      <c r="N3" s="514"/>
      <c r="O3" s="514"/>
      <c r="P3" s="514"/>
      <c r="Q3" s="514"/>
    </row>
    <row r="4" spans="1:17">
      <c r="A4" s="514"/>
      <c r="B4" s="514"/>
      <c r="G4" s="514"/>
      <c r="H4" s="514"/>
      <c r="I4" s="514"/>
      <c r="J4" s="514"/>
      <c r="K4" s="514"/>
      <c r="L4" s="514"/>
      <c r="M4" s="514"/>
      <c r="N4" s="514"/>
      <c r="O4" s="514"/>
      <c r="P4" s="514"/>
    </row>
    <row r="5" spans="1:17" ht="17.25">
      <c r="A5" s="537" t="s">
        <v>1381</v>
      </c>
      <c r="B5" s="514"/>
      <c r="G5" s="514"/>
      <c r="H5" s="514"/>
      <c r="I5" s="514"/>
      <c r="J5" s="514"/>
      <c r="K5" s="514"/>
      <c r="L5" s="514"/>
      <c r="M5" s="514"/>
      <c r="N5" s="865" t="s">
        <v>373</v>
      </c>
      <c r="O5" s="865" t="s">
        <v>374</v>
      </c>
      <c r="P5" s="514"/>
    </row>
    <row r="6" spans="1:17" ht="15.75" customHeight="1">
      <c r="A6" s="541"/>
      <c r="B6" s="534"/>
      <c r="C6" s="517"/>
      <c r="D6" s="517"/>
      <c r="E6" s="517"/>
      <c r="F6" s="517"/>
      <c r="G6" s="525"/>
      <c r="H6" s="866"/>
      <c r="I6" s="531"/>
      <c r="J6" s="542"/>
      <c r="K6" s="531"/>
      <c r="L6" s="867"/>
      <c r="M6" s="867"/>
      <c r="N6" s="868"/>
      <c r="O6" s="868"/>
      <c r="P6" s="867"/>
      <c r="Q6" s="517"/>
    </row>
    <row r="7" spans="1:17">
      <c r="A7" s="541" t="s">
        <v>0</v>
      </c>
      <c r="B7" s="534" t="s">
        <v>1698</v>
      </c>
      <c r="C7" s="518"/>
      <c r="D7" s="517"/>
      <c r="E7" s="517"/>
      <c r="F7" s="517"/>
      <c r="G7" s="525"/>
      <c r="H7" s="519"/>
      <c r="I7" s="869"/>
      <c r="J7" s="870"/>
      <c r="K7" s="520"/>
      <c r="L7" s="867"/>
      <c r="M7" s="867"/>
      <c r="N7" s="871"/>
      <c r="O7" s="871"/>
      <c r="P7" s="867"/>
      <c r="Q7" s="517"/>
    </row>
    <row r="8" spans="1:17">
      <c r="A8" s="541"/>
      <c r="B8" s="534" t="s">
        <v>1699</v>
      </c>
      <c r="C8" s="518"/>
      <c r="D8" s="517"/>
      <c r="E8" s="517"/>
      <c r="F8" s="517"/>
      <c r="G8" s="525"/>
      <c r="H8" s="519"/>
      <c r="I8" s="869"/>
      <c r="J8" s="870"/>
      <c r="K8" s="520"/>
      <c r="L8" s="867"/>
      <c r="M8" s="867"/>
      <c r="N8" s="871"/>
      <c r="O8" s="871"/>
      <c r="P8" s="867"/>
      <c r="Q8" s="517"/>
    </row>
    <row r="9" spans="1:17">
      <c r="A9" s="541"/>
      <c r="B9" s="534" t="s">
        <v>621</v>
      </c>
      <c r="C9" s="518"/>
      <c r="D9" s="517"/>
      <c r="E9" s="517"/>
      <c r="F9" s="517"/>
      <c r="G9" s="525"/>
      <c r="H9" s="519"/>
      <c r="I9" s="869"/>
      <c r="J9" s="870"/>
      <c r="K9" s="520"/>
      <c r="L9" s="867"/>
      <c r="M9" s="867"/>
      <c r="N9" s="871"/>
      <c r="O9" s="871"/>
      <c r="P9" s="867"/>
      <c r="Q9" s="517"/>
    </row>
    <row r="10" spans="1:17">
      <c r="A10" s="541"/>
      <c r="B10" s="534" t="s">
        <v>1800</v>
      </c>
      <c r="C10" s="518"/>
      <c r="D10" s="517"/>
      <c r="E10" s="517"/>
      <c r="F10" s="517"/>
      <c r="G10" s="525"/>
      <c r="H10" s="519"/>
      <c r="I10" s="869"/>
      <c r="J10" s="870"/>
      <c r="K10" s="520"/>
      <c r="L10" s="867"/>
      <c r="M10" s="867"/>
      <c r="N10" s="871"/>
      <c r="O10" s="871"/>
      <c r="P10" s="867"/>
      <c r="Q10" s="517"/>
    </row>
    <row r="11" spans="1:17">
      <c r="A11" s="541"/>
      <c r="B11" s="534" t="s">
        <v>1700</v>
      </c>
      <c r="C11" s="518"/>
      <c r="D11" s="517"/>
      <c r="E11" s="517"/>
      <c r="F11" s="517"/>
      <c r="G11" s="525"/>
      <c r="H11" s="519"/>
      <c r="I11" s="869"/>
      <c r="J11" s="870"/>
      <c r="K11" s="520"/>
      <c r="L11" s="867"/>
      <c r="M11" s="867"/>
      <c r="N11" s="871"/>
      <c r="O11" s="871"/>
      <c r="P11" s="867"/>
      <c r="Q11" s="517"/>
    </row>
    <row r="12" spans="1:17">
      <c r="A12" s="541"/>
      <c r="B12" s="521" t="s">
        <v>1801</v>
      </c>
      <c r="C12" s="518"/>
      <c r="D12" s="517"/>
      <c r="E12" s="517"/>
      <c r="F12" s="517"/>
      <c r="G12" s="525"/>
      <c r="H12" s="519"/>
      <c r="I12" s="869"/>
      <c r="J12" s="870"/>
      <c r="K12" s="520"/>
      <c r="L12" s="867"/>
      <c r="M12" s="867"/>
      <c r="N12" s="871"/>
      <c r="O12" s="871"/>
      <c r="P12" s="867"/>
      <c r="Q12" s="517"/>
    </row>
    <row r="13" spans="1:17">
      <c r="A13" s="541"/>
      <c r="B13" s="521"/>
      <c r="C13" s="518"/>
      <c r="D13" s="517"/>
      <c r="E13" s="517"/>
      <c r="F13" s="517"/>
      <c r="G13" s="525"/>
      <c r="H13" s="519"/>
      <c r="I13" s="869"/>
      <c r="J13" s="870"/>
      <c r="K13" s="520"/>
      <c r="L13" s="867"/>
      <c r="M13" s="867"/>
      <c r="N13" s="871"/>
      <c r="O13" s="871"/>
      <c r="P13" s="867"/>
      <c r="Q13" s="517"/>
    </row>
    <row r="14" spans="1:17">
      <c r="A14" s="541"/>
      <c r="B14" s="521" t="s">
        <v>1676</v>
      </c>
      <c r="C14" s="518"/>
      <c r="D14" s="517"/>
      <c r="E14" s="517"/>
      <c r="F14" s="517"/>
      <c r="G14" s="525" t="s">
        <v>284</v>
      </c>
      <c r="H14" s="519" t="s">
        <v>320</v>
      </c>
      <c r="I14" s="869"/>
      <c r="J14" s="870"/>
      <c r="K14" s="520">
        <v>2350</v>
      </c>
      <c r="L14" s="867"/>
      <c r="M14" s="867"/>
      <c r="N14" s="871"/>
      <c r="O14" s="871"/>
      <c r="P14" s="867"/>
      <c r="Q14" s="517"/>
    </row>
    <row r="15" spans="1:17">
      <c r="A15" s="541"/>
      <c r="B15" s="521" t="s">
        <v>1802</v>
      </c>
      <c r="C15" s="518"/>
      <c r="D15" s="517"/>
      <c r="E15" s="517"/>
      <c r="F15" s="517"/>
      <c r="G15" s="525"/>
      <c r="H15" s="519"/>
      <c r="I15" s="869"/>
      <c r="J15" s="870"/>
      <c r="K15" s="520"/>
      <c r="L15" s="867"/>
      <c r="M15" s="867"/>
      <c r="N15" s="871"/>
      <c r="O15" s="871"/>
      <c r="P15" s="867"/>
      <c r="Q15" s="517"/>
    </row>
    <row r="16" spans="1:17">
      <c r="A16" s="541"/>
      <c r="B16" s="521" t="s">
        <v>1803</v>
      </c>
      <c r="C16" s="518"/>
      <c r="D16" s="517"/>
      <c r="E16" s="517"/>
      <c r="F16" s="517"/>
      <c r="G16" s="525"/>
      <c r="H16" s="519"/>
      <c r="I16" s="869"/>
      <c r="J16" s="870"/>
      <c r="K16" s="520"/>
      <c r="L16" s="867"/>
      <c r="M16" s="867"/>
      <c r="N16" s="871"/>
      <c r="O16" s="871"/>
      <c r="P16" s="867"/>
      <c r="Q16" s="517"/>
    </row>
    <row r="17" spans="1:17">
      <c r="A17" s="541"/>
      <c r="B17" s="521" t="s">
        <v>1804</v>
      </c>
      <c r="C17" s="518"/>
      <c r="D17" s="517"/>
      <c r="E17" s="517"/>
      <c r="F17" s="517"/>
      <c r="G17" s="525"/>
      <c r="H17" s="519"/>
      <c r="I17" s="869"/>
      <c r="J17" s="870"/>
      <c r="K17" s="520"/>
      <c r="L17" s="867"/>
      <c r="M17" s="867"/>
      <c r="N17" s="871"/>
      <c r="O17" s="871"/>
      <c r="P17" s="867"/>
      <c r="Q17" s="517"/>
    </row>
    <row r="18" spans="1:17">
      <c r="A18" s="541"/>
      <c r="B18" s="521" t="s">
        <v>1805</v>
      </c>
      <c r="C18" s="518"/>
      <c r="D18" s="517"/>
      <c r="E18" s="517"/>
      <c r="F18" s="517"/>
      <c r="G18" s="525"/>
      <c r="H18" s="519"/>
      <c r="I18" s="869"/>
      <c r="J18" s="870"/>
      <c r="K18" s="520"/>
      <c r="L18" s="867"/>
      <c r="M18" s="867"/>
      <c r="N18" s="871"/>
      <c r="O18" s="871"/>
      <c r="P18" s="867"/>
      <c r="Q18" s="517"/>
    </row>
    <row r="19" spans="1:17">
      <c r="A19" s="541"/>
      <c r="B19" s="521" t="s">
        <v>1806</v>
      </c>
      <c r="C19" s="518"/>
      <c r="D19" s="517"/>
      <c r="E19" s="517"/>
      <c r="F19" s="517"/>
      <c r="G19" s="525"/>
      <c r="H19" s="519"/>
      <c r="I19" s="869"/>
      <c r="J19" s="870"/>
      <c r="K19" s="520"/>
      <c r="L19" s="867"/>
      <c r="M19" s="867"/>
      <c r="N19" s="871"/>
      <c r="O19" s="871"/>
      <c r="P19" s="867"/>
      <c r="Q19" s="517"/>
    </row>
    <row r="20" spans="1:17">
      <c r="A20" s="541"/>
      <c r="B20" s="521" t="s">
        <v>1807</v>
      </c>
      <c r="C20" s="518"/>
      <c r="D20" s="517"/>
      <c r="E20" s="517"/>
      <c r="F20" s="517"/>
      <c r="G20" s="525"/>
      <c r="H20" s="519"/>
      <c r="I20" s="869"/>
      <c r="J20" s="870"/>
      <c r="K20" s="520"/>
      <c r="L20" s="867"/>
      <c r="M20" s="867"/>
      <c r="N20" s="871"/>
      <c r="O20" s="871"/>
      <c r="P20" s="867"/>
      <c r="Q20" s="517"/>
    </row>
    <row r="21" spans="1:17">
      <c r="A21" s="541"/>
      <c r="B21" s="521" t="s">
        <v>1808</v>
      </c>
      <c r="C21" s="518"/>
      <c r="D21" s="517"/>
      <c r="E21" s="517"/>
      <c r="F21" s="517"/>
      <c r="G21" s="525"/>
      <c r="H21" s="519"/>
      <c r="I21" s="869"/>
      <c r="J21" s="870"/>
      <c r="K21" s="520"/>
      <c r="L21" s="867"/>
      <c r="M21" s="867"/>
      <c r="N21" s="871"/>
      <c r="O21" s="871"/>
      <c r="P21" s="867"/>
      <c r="Q21" s="517"/>
    </row>
    <row r="22" spans="1:17">
      <c r="A22" s="541"/>
      <c r="B22" s="521" t="s">
        <v>1809</v>
      </c>
      <c r="C22" s="518"/>
      <c r="D22" s="517"/>
      <c r="E22" s="517"/>
      <c r="F22" s="517"/>
      <c r="G22" s="525"/>
      <c r="H22" s="519"/>
      <c r="I22" s="869"/>
      <c r="J22" s="870"/>
      <c r="K22" s="520"/>
      <c r="L22" s="867"/>
      <c r="M22" s="867"/>
      <c r="N22" s="871"/>
      <c r="O22" s="871"/>
      <c r="P22" s="867"/>
      <c r="Q22" s="517"/>
    </row>
    <row r="23" spans="1:17">
      <c r="A23" s="541"/>
      <c r="B23" s="521" t="s">
        <v>1810</v>
      </c>
      <c r="C23" s="518"/>
      <c r="D23" s="517"/>
      <c r="E23" s="517"/>
      <c r="F23" s="517"/>
      <c r="G23" s="525"/>
      <c r="H23" s="519"/>
      <c r="I23" s="869"/>
      <c r="J23" s="870"/>
      <c r="K23" s="520"/>
      <c r="L23" s="867"/>
      <c r="M23" s="867"/>
      <c r="N23" s="871"/>
      <c r="O23" s="871"/>
      <c r="P23" s="867"/>
      <c r="Q23" s="517"/>
    </row>
    <row r="24" spans="1:17">
      <c r="A24" s="541"/>
      <c r="B24" s="521" t="s">
        <v>1811</v>
      </c>
      <c r="C24" s="518"/>
      <c r="D24" s="517"/>
      <c r="E24" s="517"/>
      <c r="F24" s="517"/>
      <c r="G24" s="525"/>
      <c r="H24" s="519"/>
      <c r="I24" s="869"/>
      <c r="J24" s="870"/>
      <c r="K24" s="520"/>
      <c r="L24" s="867"/>
      <c r="M24" s="867"/>
      <c r="N24" s="871"/>
      <c r="O24" s="871"/>
      <c r="P24" s="867"/>
      <c r="Q24" s="517"/>
    </row>
    <row r="25" spans="1:17">
      <c r="A25" s="541"/>
      <c r="B25" s="521" t="s">
        <v>1812</v>
      </c>
      <c r="C25" s="518"/>
      <c r="D25" s="517"/>
      <c r="E25" s="517"/>
      <c r="F25" s="517"/>
      <c r="G25" s="525"/>
      <c r="H25" s="519"/>
      <c r="I25" s="869"/>
      <c r="J25" s="870"/>
      <c r="K25" s="520"/>
      <c r="L25" s="867"/>
      <c r="M25" s="867"/>
      <c r="N25" s="871"/>
      <c r="O25" s="871"/>
      <c r="P25" s="867"/>
      <c r="Q25" s="517"/>
    </row>
    <row r="26" spans="1:17">
      <c r="A26" s="541"/>
      <c r="B26" s="521"/>
      <c r="C26" s="518"/>
      <c r="D26" s="517"/>
      <c r="E26" s="517"/>
      <c r="F26" s="517"/>
      <c r="G26" s="525"/>
      <c r="H26" s="519"/>
      <c r="I26" s="869"/>
      <c r="J26" s="870"/>
      <c r="K26" s="520"/>
      <c r="L26" s="867"/>
      <c r="M26" s="867"/>
      <c r="N26" s="871"/>
      <c r="O26" s="871"/>
      <c r="P26" s="867"/>
      <c r="Q26" s="517"/>
    </row>
    <row r="27" spans="1:17">
      <c r="A27" s="519"/>
      <c r="B27" s="521" t="s">
        <v>1677</v>
      </c>
      <c r="C27" s="521"/>
      <c r="D27" s="524"/>
      <c r="E27" s="524"/>
      <c r="F27" s="524"/>
      <c r="G27" s="554" t="s">
        <v>284</v>
      </c>
      <c r="H27" s="519" t="s">
        <v>351</v>
      </c>
      <c r="I27" s="872"/>
      <c r="J27" s="870"/>
      <c r="K27" s="520">
        <v>2400</v>
      </c>
      <c r="L27" s="867"/>
      <c r="M27" s="867"/>
      <c r="N27" s="871"/>
      <c r="O27" s="871"/>
      <c r="P27" s="867"/>
      <c r="Q27" s="517"/>
    </row>
    <row r="28" spans="1:17">
      <c r="A28" s="541"/>
      <c r="B28" s="521" t="s">
        <v>1802</v>
      </c>
      <c r="C28" s="518"/>
      <c r="D28" s="517"/>
      <c r="E28" s="517"/>
      <c r="F28" s="517"/>
      <c r="G28" s="525"/>
      <c r="H28" s="519"/>
      <c r="I28" s="869"/>
      <c r="J28" s="870"/>
      <c r="K28" s="520"/>
      <c r="L28" s="867"/>
      <c r="M28" s="867"/>
      <c r="N28" s="871"/>
      <c r="O28" s="871"/>
      <c r="P28" s="867"/>
      <c r="Q28" s="517"/>
    </row>
    <row r="29" spans="1:17">
      <c r="A29" s="541"/>
      <c r="B29" s="521" t="s">
        <v>1803</v>
      </c>
      <c r="C29" s="518"/>
      <c r="D29" s="517"/>
      <c r="E29" s="517"/>
      <c r="F29" s="517"/>
      <c r="G29" s="525"/>
      <c r="H29" s="519"/>
      <c r="I29" s="869"/>
      <c r="J29" s="870"/>
      <c r="K29" s="520"/>
      <c r="L29" s="867"/>
      <c r="M29" s="867"/>
      <c r="N29" s="871"/>
      <c r="O29" s="871"/>
      <c r="P29" s="867"/>
      <c r="Q29" s="517"/>
    </row>
    <row r="30" spans="1:17">
      <c r="A30" s="541"/>
      <c r="B30" s="521" t="s">
        <v>1804</v>
      </c>
      <c r="C30" s="518"/>
      <c r="D30" s="517"/>
      <c r="E30" s="517"/>
      <c r="F30" s="517"/>
      <c r="G30" s="525"/>
      <c r="H30" s="519"/>
      <c r="I30" s="869"/>
      <c r="J30" s="870"/>
      <c r="K30" s="520"/>
      <c r="L30" s="867"/>
      <c r="M30" s="867"/>
      <c r="N30" s="871"/>
      <c r="O30" s="871"/>
      <c r="P30" s="867"/>
      <c r="Q30" s="517"/>
    </row>
    <row r="31" spans="1:17">
      <c r="A31" s="541"/>
      <c r="B31" s="521" t="s">
        <v>1805</v>
      </c>
      <c r="C31" s="518"/>
      <c r="D31" s="517"/>
      <c r="E31" s="517"/>
      <c r="F31" s="517"/>
      <c r="G31" s="525"/>
      <c r="H31" s="519"/>
      <c r="I31" s="869"/>
      <c r="J31" s="870"/>
      <c r="K31" s="520"/>
      <c r="L31" s="867"/>
      <c r="M31" s="867"/>
      <c r="N31" s="871"/>
      <c r="O31" s="871"/>
      <c r="P31" s="867"/>
      <c r="Q31" s="517"/>
    </row>
    <row r="32" spans="1:17">
      <c r="A32" s="541"/>
      <c r="B32" s="521" t="s">
        <v>1813</v>
      </c>
      <c r="C32" s="518"/>
      <c r="D32" s="517"/>
      <c r="E32" s="517"/>
      <c r="F32" s="517"/>
      <c r="G32" s="525"/>
      <c r="H32" s="519"/>
      <c r="I32" s="869"/>
      <c r="J32" s="870"/>
      <c r="K32" s="520"/>
      <c r="L32" s="867"/>
      <c r="M32" s="867"/>
      <c r="N32" s="871"/>
      <c r="O32" s="871"/>
      <c r="P32" s="867"/>
      <c r="Q32" s="517"/>
    </row>
    <row r="33" spans="1:17">
      <c r="A33" s="541"/>
      <c r="B33" s="521" t="s">
        <v>1814</v>
      </c>
      <c r="C33" s="518"/>
      <c r="D33" s="517"/>
      <c r="E33" s="517"/>
      <c r="F33" s="517"/>
      <c r="G33" s="525"/>
      <c r="H33" s="519"/>
      <c r="I33" s="869"/>
      <c r="J33" s="870"/>
      <c r="K33" s="520"/>
      <c r="L33" s="867"/>
      <c r="M33" s="867"/>
      <c r="N33" s="871"/>
      <c r="O33" s="871"/>
      <c r="P33" s="867"/>
      <c r="Q33" s="517"/>
    </row>
    <row r="34" spans="1:17">
      <c r="A34" s="541"/>
      <c r="B34" s="521" t="s">
        <v>1815</v>
      </c>
      <c r="C34" s="518"/>
      <c r="D34" s="517"/>
      <c r="E34" s="517"/>
      <c r="F34" s="517"/>
      <c r="G34" s="525"/>
      <c r="H34" s="519"/>
      <c r="I34" s="869"/>
      <c r="J34" s="870"/>
      <c r="K34" s="520"/>
      <c r="L34" s="867"/>
      <c r="M34" s="867"/>
      <c r="N34" s="871"/>
      <c r="O34" s="871"/>
      <c r="P34" s="867"/>
      <c r="Q34" s="517"/>
    </row>
    <row r="35" spans="1:17">
      <c r="A35" s="541"/>
      <c r="B35" s="521" t="s">
        <v>1816</v>
      </c>
      <c r="C35" s="518"/>
      <c r="D35" s="517"/>
      <c r="E35" s="517"/>
      <c r="F35" s="517"/>
      <c r="G35" s="525"/>
      <c r="H35" s="519"/>
      <c r="I35" s="869"/>
      <c r="J35" s="870"/>
      <c r="K35" s="520"/>
      <c r="L35" s="867"/>
      <c r="M35" s="867"/>
      <c r="N35" s="871"/>
      <c r="O35" s="871"/>
      <c r="P35" s="867"/>
      <c r="Q35" s="517"/>
    </row>
    <row r="36" spans="1:17">
      <c r="A36" s="541"/>
      <c r="B36" s="521" t="s">
        <v>1817</v>
      </c>
      <c r="C36" s="518"/>
      <c r="D36" s="517"/>
      <c r="E36" s="517"/>
      <c r="F36" s="517"/>
      <c r="G36" s="525"/>
      <c r="H36" s="519"/>
      <c r="I36" s="869"/>
      <c r="J36" s="870"/>
      <c r="K36" s="520"/>
      <c r="L36" s="867"/>
      <c r="M36" s="867"/>
      <c r="N36" s="871"/>
      <c r="O36" s="871"/>
      <c r="P36" s="867"/>
      <c r="Q36" s="517"/>
    </row>
    <row r="37" spans="1:17">
      <c r="A37" s="541"/>
      <c r="B37" s="521" t="s">
        <v>1818</v>
      </c>
      <c r="C37" s="518"/>
      <c r="D37" s="517"/>
      <c r="E37" s="517"/>
      <c r="F37" s="517"/>
      <c r="G37" s="525"/>
      <c r="H37" s="519"/>
      <c r="I37" s="869"/>
      <c r="J37" s="870"/>
      <c r="K37" s="520"/>
      <c r="L37" s="867"/>
      <c r="M37" s="867"/>
      <c r="N37" s="871"/>
      <c r="O37" s="871"/>
      <c r="P37" s="867"/>
      <c r="Q37" s="517"/>
    </row>
    <row r="38" spans="1:17">
      <c r="A38" s="523"/>
      <c r="B38" s="522" t="s">
        <v>1819</v>
      </c>
      <c r="C38" s="522"/>
      <c r="D38" s="529"/>
      <c r="E38" s="529"/>
      <c r="F38" s="529"/>
      <c r="G38" s="528"/>
      <c r="H38" s="523"/>
      <c r="I38" s="873"/>
      <c r="J38" s="874"/>
      <c r="K38" s="520"/>
      <c r="L38" s="867"/>
      <c r="M38" s="867"/>
      <c r="N38" s="871"/>
      <c r="O38" s="871"/>
      <c r="P38" s="867"/>
      <c r="Q38" s="517"/>
    </row>
    <row r="39" spans="1:17">
      <c r="A39" s="519"/>
      <c r="B39" s="521"/>
      <c r="C39" s="521"/>
      <c r="D39" s="524"/>
      <c r="E39" s="524"/>
      <c r="F39" s="524"/>
      <c r="G39" s="554"/>
      <c r="H39" s="519"/>
      <c r="I39" s="872"/>
      <c r="J39" s="870"/>
      <c r="K39" s="520"/>
      <c r="L39" s="867"/>
      <c r="M39" s="867"/>
      <c r="N39" s="871"/>
      <c r="O39" s="871"/>
      <c r="P39" s="867"/>
      <c r="Q39" s="517"/>
    </row>
    <row r="40" spans="1:17">
      <c r="A40" s="541"/>
      <c r="B40" s="524"/>
      <c r="C40" s="518"/>
      <c r="D40" s="517"/>
      <c r="E40" s="517"/>
      <c r="F40" s="517"/>
      <c r="G40" s="525"/>
      <c r="H40" s="525"/>
      <c r="I40" s="869"/>
      <c r="J40" s="870"/>
      <c r="K40" s="520"/>
      <c r="L40" s="867"/>
      <c r="M40" s="867"/>
      <c r="N40" s="871"/>
      <c r="O40" s="871"/>
      <c r="P40" s="867"/>
      <c r="Q40" s="517"/>
    </row>
    <row r="41" spans="1:17">
      <c r="A41" s="541" t="s">
        <v>1</v>
      </c>
      <c r="B41" s="534" t="s">
        <v>1701</v>
      </c>
      <c r="C41" s="517"/>
      <c r="D41" s="517"/>
      <c r="E41" s="517"/>
      <c r="F41" s="517"/>
      <c r="G41" s="525"/>
      <c r="H41" s="866"/>
      <c r="I41" s="531"/>
      <c r="J41" s="542"/>
      <c r="K41" s="531"/>
      <c r="L41" s="867"/>
      <c r="M41" s="867"/>
      <c r="N41" s="868"/>
      <c r="O41" s="868"/>
      <c r="P41" s="867"/>
      <c r="Q41" s="517"/>
    </row>
    <row r="42" spans="1:17">
      <c r="A42" s="541"/>
      <c r="B42" s="534" t="s">
        <v>623</v>
      </c>
      <c r="C42" s="517"/>
      <c r="D42" s="517"/>
      <c r="E42" s="517"/>
      <c r="F42" s="517"/>
      <c r="G42" s="525"/>
      <c r="H42" s="866"/>
      <c r="I42" s="531"/>
      <c r="J42" s="542"/>
      <c r="K42" s="531"/>
      <c r="L42" s="867"/>
      <c r="M42" s="867"/>
      <c r="N42" s="868"/>
      <c r="O42" s="868"/>
      <c r="P42" s="867"/>
      <c r="Q42" s="517"/>
    </row>
    <row r="43" spans="1:17" ht="15.75" customHeight="1">
      <c r="A43" s="541"/>
      <c r="B43" s="534" t="s">
        <v>1702</v>
      </c>
      <c r="C43" s="517"/>
      <c r="D43" s="517"/>
      <c r="E43" s="517"/>
      <c r="F43" s="517"/>
      <c r="G43" s="525"/>
      <c r="H43" s="866"/>
      <c r="I43" s="531"/>
      <c r="J43" s="542"/>
      <c r="K43" s="531"/>
      <c r="L43" s="867"/>
      <c r="M43" s="867"/>
      <c r="N43" s="868"/>
      <c r="O43" s="868"/>
      <c r="P43" s="867"/>
      <c r="Q43" s="517"/>
    </row>
    <row r="44" spans="1:17">
      <c r="A44" s="541"/>
      <c r="B44" s="534" t="s">
        <v>1800</v>
      </c>
      <c r="C44" s="517"/>
      <c r="D44" s="517"/>
      <c r="E44" s="517"/>
      <c r="F44" s="517"/>
      <c r="G44" s="525"/>
      <c r="H44" s="866"/>
      <c r="I44" s="531"/>
      <c r="J44" s="542"/>
      <c r="K44" s="531"/>
      <c r="L44" s="867"/>
      <c r="M44" s="867"/>
      <c r="N44" s="868"/>
      <c r="O44" s="868"/>
      <c r="P44" s="867"/>
      <c r="Q44" s="517"/>
    </row>
    <row r="45" spans="1:17">
      <c r="A45" s="541"/>
      <c r="B45" s="534" t="s">
        <v>1700</v>
      </c>
      <c r="C45" s="517"/>
      <c r="D45" s="517"/>
      <c r="E45" s="517"/>
      <c r="F45" s="517"/>
      <c r="G45" s="525"/>
      <c r="H45" s="866"/>
      <c r="I45" s="531"/>
      <c r="J45" s="542"/>
      <c r="K45" s="531"/>
      <c r="L45" s="867"/>
      <c r="M45" s="867"/>
      <c r="N45" s="868"/>
      <c r="O45" s="868"/>
      <c r="P45" s="867"/>
      <c r="Q45" s="517"/>
    </row>
    <row r="46" spans="1:17">
      <c r="A46" s="541"/>
      <c r="B46" s="521" t="s">
        <v>1801</v>
      </c>
      <c r="C46" s="517"/>
      <c r="D46" s="517"/>
      <c r="E46" s="517"/>
      <c r="F46" s="517"/>
      <c r="G46" s="525"/>
      <c r="H46" s="866"/>
      <c r="I46" s="531"/>
      <c r="J46" s="542"/>
      <c r="K46" s="531"/>
      <c r="L46" s="867"/>
      <c r="M46" s="867"/>
      <c r="N46" s="868"/>
      <c r="O46" s="868"/>
      <c r="P46" s="867"/>
      <c r="Q46" s="517"/>
    </row>
    <row r="47" spans="1:17">
      <c r="A47" s="541"/>
      <c r="B47" s="521"/>
      <c r="C47" s="517"/>
      <c r="D47" s="517"/>
      <c r="E47" s="517"/>
      <c r="F47" s="517"/>
      <c r="G47" s="525"/>
      <c r="H47" s="866"/>
      <c r="I47" s="531"/>
      <c r="J47" s="542"/>
      <c r="K47" s="531"/>
      <c r="L47" s="867"/>
      <c r="M47" s="867"/>
      <c r="N47" s="868"/>
      <c r="O47" s="868"/>
      <c r="P47" s="867"/>
      <c r="Q47" s="517"/>
    </row>
    <row r="48" spans="1:17">
      <c r="A48" s="541"/>
      <c r="B48" s="521" t="s">
        <v>1678</v>
      </c>
      <c r="C48" s="518"/>
      <c r="D48" s="517"/>
      <c r="E48" s="517"/>
      <c r="F48" s="517"/>
      <c r="G48" s="525" t="s">
        <v>284</v>
      </c>
      <c r="H48" s="526">
        <v>12</v>
      </c>
      <c r="I48" s="869"/>
      <c r="J48" s="870"/>
      <c r="K48" s="520">
        <v>645</v>
      </c>
      <c r="L48" s="867"/>
      <c r="M48" s="867"/>
      <c r="N48" s="871">
        <v>10665</v>
      </c>
      <c r="O48" s="871">
        <v>12584.699999999999</v>
      </c>
      <c r="P48" s="867"/>
      <c r="Q48" s="517"/>
    </row>
    <row r="49" spans="1:17">
      <c r="A49" s="541"/>
      <c r="B49" s="521" t="s">
        <v>1802</v>
      </c>
      <c r="C49" s="518"/>
      <c r="D49" s="517"/>
      <c r="E49" s="517"/>
      <c r="F49" s="517"/>
      <c r="G49" s="525"/>
      <c r="H49" s="526"/>
      <c r="I49" s="869"/>
      <c r="J49" s="870"/>
      <c r="K49" s="520"/>
      <c r="L49" s="867"/>
      <c r="M49" s="867"/>
      <c r="N49" s="871"/>
      <c r="O49" s="871"/>
      <c r="P49" s="867"/>
      <c r="Q49" s="517"/>
    </row>
    <row r="50" spans="1:17">
      <c r="A50" s="541"/>
      <c r="B50" s="521" t="s">
        <v>1820</v>
      </c>
      <c r="C50" s="518"/>
      <c r="D50" s="517"/>
      <c r="E50" s="517"/>
      <c r="F50" s="517"/>
      <c r="G50" s="525"/>
      <c r="H50" s="526"/>
      <c r="I50" s="869"/>
      <c r="J50" s="870"/>
      <c r="K50" s="520"/>
      <c r="L50" s="867"/>
      <c r="M50" s="867"/>
      <c r="N50" s="871"/>
      <c r="O50" s="871"/>
      <c r="P50" s="867"/>
      <c r="Q50" s="517"/>
    </row>
    <row r="51" spans="1:17">
      <c r="A51" s="541"/>
      <c r="B51" s="521" t="s">
        <v>1821</v>
      </c>
      <c r="C51" s="518"/>
      <c r="D51" s="517"/>
      <c r="E51" s="517"/>
      <c r="F51" s="517"/>
      <c r="G51" s="525"/>
      <c r="H51" s="526"/>
      <c r="I51" s="869"/>
      <c r="J51" s="870"/>
      <c r="K51" s="520"/>
      <c r="L51" s="867"/>
      <c r="M51" s="867"/>
      <c r="N51" s="871"/>
      <c r="O51" s="871"/>
      <c r="P51" s="867"/>
      <c r="Q51" s="517"/>
    </row>
    <row r="52" spans="1:17">
      <c r="A52" s="541"/>
      <c r="B52" s="521" t="s">
        <v>1822</v>
      </c>
      <c r="C52" s="518"/>
      <c r="D52" s="517"/>
      <c r="E52" s="517"/>
      <c r="F52" s="517"/>
      <c r="G52" s="525"/>
      <c r="H52" s="526"/>
      <c r="I52" s="869"/>
      <c r="J52" s="870"/>
      <c r="K52" s="520"/>
      <c r="L52" s="867"/>
      <c r="M52" s="867"/>
      <c r="N52" s="871"/>
      <c r="O52" s="871"/>
      <c r="P52" s="867"/>
      <c r="Q52" s="517"/>
    </row>
    <row r="53" spans="1:17">
      <c r="A53" s="541"/>
      <c r="B53" s="521"/>
      <c r="C53" s="518"/>
      <c r="D53" s="517"/>
      <c r="E53" s="517"/>
      <c r="F53" s="517"/>
      <c r="G53" s="525"/>
      <c r="H53" s="526"/>
      <c r="I53" s="869"/>
      <c r="J53" s="870"/>
      <c r="K53" s="520"/>
      <c r="L53" s="867"/>
      <c r="M53" s="867"/>
      <c r="N53" s="871"/>
      <c r="O53" s="871"/>
      <c r="P53" s="867"/>
      <c r="Q53" s="517"/>
    </row>
    <row r="54" spans="1:17">
      <c r="A54" s="541"/>
      <c r="B54" s="521" t="s">
        <v>1679</v>
      </c>
      <c r="C54" s="518"/>
      <c r="D54" s="517"/>
      <c r="E54" s="517"/>
      <c r="F54" s="517"/>
      <c r="G54" s="525" t="s">
        <v>284</v>
      </c>
      <c r="H54" s="526">
        <v>23</v>
      </c>
      <c r="I54" s="869"/>
      <c r="J54" s="870"/>
      <c r="K54" s="520">
        <v>680</v>
      </c>
      <c r="L54" s="867"/>
      <c r="M54" s="867"/>
      <c r="N54" s="871">
        <v>10665</v>
      </c>
      <c r="O54" s="871">
        <v>12584.699999999999</v>
      </c>
      <c r="P54" s="867"/>
      <c r="Q54" s="517"/>
    </row>
    <row r="55" spans="1:17">
      <c r="A55" s="541"/>
      <c r="B55" s="521" t="s">
        <v>1802</v>
      </c>
      <c r="C55" s="518"/>
      <c r="D55" s="517"/>
      <c r="E55" s="517"/>
      <c r="F55" s="517"/>
      <c r="G55" s="525"/>
      <c r="H55" s="526"/>
      <c r="I55" s="869"/>
      <c r="J55" s="870"/>
      <c r="K55" s="520"/>
      <c r="L55" s="867"/>
      <c r="M55" s="867"/>
      <c r="N55" s="871"/>
      <c r="O55" s="871"/>
      <c r="P55" s="867"/>
      <c r="Q55" s="517"/>
    </row>
    <row r="56" spans="1:17">
      <c r="A56" s="541"/>
      <c r="B56" s="521" t="s">
        <v>1823</v>
      </c>
      <c r="C56" s="518"/>
      <c r="D56" s="517"/>
      <c r="E56" s="517"/>
      <c r="F56" s="517"/>
      <c r="G56" s="525"/>
      <c r="H56" s="526"/>
      <c r="I56" s="869"/>
      <c r="J56" s="870"/>
      <c r="K56" s="520"/>
      <c r="L56" s="867"/>
      <c r="M56" s="867"/>
      <c r="N56" s="871"/>
      <c r="O56" s="871"/>
      <c r="P56" s="867"/>
      <c r="Q56" s="517"/>
    </row>
    <row r="57" spans="1:17">
      <c r="A57" s="541"/>
      <c r="B57" s="521" t="s">
        <v>1824</v>
      </c>
      <c r="C57" s="518"/>
      <c r="D57" s="517"/>
      <c r="E57" s="517"/>
      <c r="F57" s="517"/>
      <c r="G57" s="525"/>
      <c r="H57" s="526"/>
      <c r="I57" s="869"/>
      <c r="J57" s="870"/>
      <c r="K57" s="520"/>
      <c r="L57" s="867"/>
      <c r="M57" s="867"/>
      <c r="N57" s="871"/>
      <c r="O57" s="871"/>
      <c r="P57" s="867"/>
      <c r="Q57" s="517"/>
    </row>
    <row r="58" spans="1:17">
      <c r="A58" s="541"/>
      <c r="B58" s="521" t="s">
        <v>1822</v>
      </c>
      <c r="C58" s="518"/>
      <c r="D58" s="517"/>
      <c r="E58" s="517"/>
      <c r="F58" s="517"/>
      <c r="G58" s="525"/>
      <c r="H58" s="526"/>
      <c r="I58" s="869"/>
      <c r="J58" s="870"/>
      <c r="K58" s="520"/>
      <c r="L58" s="867"/>
      <c r="M58" s="867"/>
      <c r="N58" s="871"/>
      <c r="O58" s="871"/>
      <c r="P58" s="867"/>
      <c r="Q58" s="517"/>
    </row>
    <row r="59" spans="1:17">
      <c r="A59" s="541"/>
      <c r="B59" s="521"/>
      <c r="C59" s="518"/>
      <c r="D59" s="517"/>
      <c r="E59" s="517"/>
      <c r="F59" s="517"/>
      <c r="G59" s="525"/>
      <c r="H59" s="526"/>
      <c r="I59" s="869"/>
      <c r="J59" s="870"/>
      <c r="K59" s="520"/>
      <c r="L59" s="867"/>
      <c r="M59" s="867"/>
      <c r="N59" s="871"/>
      <c r="O59" s="871"/>
      <c r="P59" s="867"/>
      <c r="Q59" s="517"/>
    </row>
    <row r="60" spans="1:17">
      <c r="A60" s="541"/>
      <c r="B60" s="521" t="s">
        <v>1680</v>
      </c>
      <c r="C60" s="518"/>
      <c r="D60" s="517"/>
      <c r="E60" s="517"/>
      <c r="F60" s="517"/>
      <c r="G60" s="525" t="s">
        <v>284</v>
      </c>
      <c r="H60" s="526">
        <v>22</v>
      </c>
      <c r="I60" s="869"/>
      <c r="J60" s="870"/>
      <c r="K60" s="520">
        <v>710</v>
      </c>
      <c r="L60" s="867"/>
      <c r="M60" s="867"/>
      <c r="N60" s="871"/>
      <c r="O60" s="871"/>
      <c r="P60" s="867"/>
      <c r="Q60" s="517"/>
    </row>
    <row r="61" spans="1:17">
      <c r="A61" s="541"/>
      <c r="B61" s="521" t="s">
        <v>1802</v>
      </c>
      <c r="C61" s="518"/>
      <c r="D61" s="517"/>
      <c r="E61" s="517"/>
      <c r="F61" s="517"/>
      <c r="G61" s="525"/>
      <c r="H61" s="526"/>
      <c r="I61" s="869"/>
      <c r="J61" s="870"/>
      <c r="K61" s="520"/>
      <c r="L61" s="867"/>
      <c r="M61" s="867"/>
      <c r="N61" s="871"/>
      <c r="O61" s="871"/>
      <c r="P61" s="867"/>
      <c r="Q61" s="517"/>
    </row>
    <row r="62" spans="1:17">
      <c r="A62" s="541"/>
      <c r="B62" s="521" t="s">
        <v>1825</v>
      </c>
      <c r="C62" s="518"/>
      <c r="D62" s="517"/>
      <c r="E62" s="517"/>
      <c r="F62" s="517"/>
      <c r="G62" s="525"/>
      <c r="H62" s="526"/>
      <c r="I62" s="869"/>
      <c r="J62" s="870"/>
      <c r="K62" s="520"/>
      <c r="L62" s="867"/>
      <c r="M62" s="867"/>
      <c r="N62" s="871"/>
      <c r="O62" s="871"/>
      <c r="P62" s="867"/>
      <c r="Q62" s="517"/>
    </row>
    <row r="63" spans="1:17">
      <c r="A63" s="541"/>
      <c r="B63" s="521" t="s">
        <v>1826</v>
      </c>
      <c r="C63" s="518"/>
      <c r="D63" s="517"/>
      <c r="E63" s="517"/>
      <c r="F63" s="517"/>
      <c r="G63" s="525"/>
      <c r="H63" s="526"/>
      <c r="I63" s="869"/>
      <c r="J63" s="870"/>
      <c r="K63" s="520"/>
      <c r="L63" s="867"/>
      <c r="M63" s="867"/>
      <c r="N63" s="871"/>
      <c r="O63" s="871"/>
      <c r="P63" s="867"/>
      <c r="Q63" s="517"/>
    </row>
    <row r="64" spans="1:17">
      <c r="A64" s="541"/>
      <c r="B64" s="521" t="s">
        <v>1822</v>
      </c>
      <c r="C64" s="518"/>
      <c r="D64" s="517"/>
      <c r="E64" s="517"/>
      <c r="F64" s="517"/>
      <c r="G64" s="525"/>
      <c r="H64" s="526"/>
      <c r="I64" s="869"/>
      <c r="J64" s="870"/>
      <c r="K64" s="520"/>
      <c r="L64" s="867"/>
      <c r="M64" s="867"/>
      <c r="N64" s="871"/>
      <c r="O64" s="871"/>
      <c r="P64" s="867"/>
      <c r="Q64" s="517"/>
    </row>
    <row r="65" spans="1:17">
      <c r="A65" s="541"/>
      <c r="B65" s="521"/>
      <c r="C65" s="518"/>
      <c r="D65" s="517"/>
      <c r="E65" s="517"/>
      <c r="F65" s="517"/>
      <c r="G65" s="525"/>
      <c r="H65" s="526"/>
      <c r="I65" s="869"/>
      <c r="J65" s="870"/>
      <c r="K65" s="520"/>
      <c r="L65" s="867"/>
      <c r="M65" s="867"/>
      <c r="N65" s="871"/>
      <c r="O65" s="871"/>
      <c r="P65" s="867"/>
      <c r="Q65" s="517"/>
    </row>
    <row r="66" spans="1:17">
      <c r="A66" s="541"/>
      <c r="B66" s="521" t="s">
        <v>1681</v>
      </c>
      <c r="C66" s="518"/>
      <c r="D66" s="517"/>
      <c r="E66" s="517"/>
      <c r="F66" s="517"/>
      <c r="G66" s="525" t="s">
        <v>284</v>
      </c>
      <c r="H66" s="526">
        <v>1</v>
      </c>
      <c r="I66" s="869"/>
      <c r="J66" s="870"/>
      <c r="K66" s="520">
        <v>720</v>
      </c>
      <c r="L66" s="867"/>
      <c r="M66" s="867"/>
      <c r="N66" s="871"/>
      <c r="O66" s="871"/>
      <c r="P66" s="867"/>
      <c r="Q66" s="517"/>
    </row>
    <row r="67" spans="1:17">
      <c r="A67" s="541"/>
      <c r="B67" s="521" t="s">
        <v>1802</v>
      </c>
      <c r="C67" s="518"/>
      <c r="D67" s="517"/>
      <c r="E67" s="517"/>
      <c r="F67" s="517"/>
      <c r="G67" s="525"/>
      <c r="H67" s="526"/>
      <c r="I67" s="869"/>
      <c r="J67" s="870"/>
      <c r="K67" s="520"/>
      <c r="L67" s="867"/>
      <c r="M67" s="867"/>
      <c r="N67" s="871"/>
      <c r="O67" s="871"/>
      <c r="P67" s="867"/>
      <c r="Q67" s="517"/>
    </row>
    <row r="68" spans="1:17">
      <c r="A68" s="541"/>
      <c r="B68" s="521" t="s">
        <v>1827</v>
      </c>
      <c r="C68" s="518"/>
      <c r="D68" s="517"/>
      <c r="E68" s="517"/>
      <c r="F68" s="517"/>
      <c r="G68" s="525"/>
      <c r="H68" s="526"/>
      <c r="I68" s="869"/>
      <c r="J68" s="870"/>
      <c r="K68" s="520"/>
      <c r="L68" s="867"/>
      <c r="M68" s="867"/>
      <c r="N68" s="871"/>
      <c r="O68" s="871"/>
      <c r="P68" s="867"/>
      <c r="Q68" s="517"/>
    </row>
    <row r="69" spans="1:17">
      <c r="A69" s="541"/>
      <c r="B69" s="521" t="s">
        <v>1828</v>
      </c>
      <c r="C69" s="518"/>
      <c r="D69" s="517"/>
      <c r="E69" s="517"/>
      <c r="F69" s="517"/>
      <c r="G69" s="525"/>
      <c r="H69" s="526"/>
      <c r="I69" s="869"/>
      <c r="J69" s="870"/>
      <c r="K69" s="520"/>
      <c r="L69" s="867"/>
      <c r="M69" s="867"/>
      <c r="N69" s="871"/>
      <c r="O69" s="871"/>
      <c r="P69" s="867"/>
      <c r="Q69" s="517"/>
    </row>
    <row r="70" spans="1:17">
      <c r="A70" s="541"/>
      <c r="B70" s="521" t="s">
        <v>1822</v>
      </c>
      <c r="C70" s="518"/>
      <c r="D70" s="517"/>
      <c r="E70" s="517"/>
      <c r="F70" s="517"/>
      <c r="G70" s="525"/>
      <c r="H70" s="526"/>
      <c r="I70" s="869"/>
      <c r="J70" s="870"/>
      <c r="K70" s="520"/>
      <c r="L70" s="867"/>
      <c r="M70" s="867"/>
      <c r="N70" s="871"/>
      <c r="O70" s="871"/>
      <c r="P70" s="867"/>
      <c r="Q70" s="517"/>
    </row>
    <row r="71" spans="1:17">
      <c r="A71" s="541"/>
      <c r="B71" s="521"/>
      <c r="C71" s="518"/>
      <c r="D71" s="517"/>
      <c r="E71" s="517"/>
      <c r="F71" s="517"/>
      <c r="G71" s="525"/>
      <c r="H71" s="526"/>
      <c r="I71" s="869"/>
      <c r="J71" s="870"/>
      <c r="K71" s="520"/>
      <c r="L71" s="867"/>
      <c r="M71" s="867"/>
      <c r="N71" s="871"/>
      <c r="O71" s="871"/>
      <c r="P71" s="867"/>
      <c r="Q71" s="517"/>
    </row>
    <row r="72" spans="1:17">
      <c r="A72" s="541"/>
      <c r="B72" s="534" t="s">
        <v>1682</v>
      </c>
      <c r="C72" s="518"/>
      <c r="D72" s="517"/>
      <c r="E72" s="517"/>
      <c r="F72" s="517"/>
      <c r="G72" s="525" t="s">
        <v>284</v>
      </c>
      <c r="H72" s="526">
        <v>3</v>
      </c>
      <c r="I72" s="869"/>
      <c r="J72" s="870"/>
      <c r="K72" s="520">
        <v>790</v>
      </c>
      <c r="L72" s="867"/>
      <c r="M72" s="867"/>
      <c r="N72" s="871"/>
      <c r="O72" s="871"/>
      <c r="P72" s="867"/>
      <c r="Q72" s="517"/>
    </row>
    <row r="73" spans="1:17">
      <c r="A73" s="541"/>
      <c r="B73" s="521" t="s">
        <v>1802</v>
      </c>
      <c r="C73" s="518"/>
      <c r="D73" s="517"/>
      <c r="E73" s="517"/>
      <c r="F73" s="517"/>
      <c r="G73" s="525"/>
      <c r="H73" s="526"/>
      <c r="I73" s="869"/>
      <c r="J73" s="870"/>
      <c r="K73" s="520"/>
      <c r="L73" s="867"/>
      <c r="M73" s="867"/>
      <c r="N73" s="871"/>
      <c r="O73" s="871"/>
      <c r="P73" s="867"/>
      <c r="Q73" s="517"/>
    </row>
    <row r="74" spans="1:17">
      <c r="A74" s="541"/>
      <c r="B74" s="521" t="s">
        <v>1829</v>
      </c>
      <c r="C74" s="518"/>
      <c r="D74" s="517"/>
      <c r="E74" s="517"/>
      <c r="F74" s="517"/>
      <c r="G74" s="525"/>
      <c r="H74" s="526"/>
      <c r="I74" s="869"/>
      <c r="J74" s="870"/>
      <c r="K74" s="520"/>
      <c r="L74" s="867"/>
      <c r="M74" s="867"/>
      <c r="N74" s="871"/>
      <c r="O74" s="871"/>
      <c r="P74" s="867"/>
      <c r="Q74" s="517"/>
    </row>
    <row r="75" spans="1:17">
      <c r="A75" s="541"/>
      <c r="B75" s="521" t="s">
        <v>1830</v>
      </c>
      <c r="C75" s="518"/>
      <c r="D75" s="517"/>
      <c r="E75" s="517"/>
      <c r="F75" s="517"/>
      <c r="G75" s="525"/>
      <c r="H75" s="526"/>
      <c r="I75" s="869"/>
      <c r="J75" s="870"/>
      <c r="K75" s="520"/>
      <c r="L75" s="867"/>
      <c r="M75" s="867"/>
      <c r="N75" s="871"/>
      <c r="O75" s="871"/>
      <c r="P75" s="867"/>
      <c r="Q75" s="517"/>
    </row>
    <row r="76" spans="1:17">
      <c r="A76" s="541"/>
      <c r="B76" s="521" t="s">
        <v>1831</v>
      </c>
      <c r="C76" s="518"/>
      <c r="D76" s="517"/>
      <c r="E76" s="517"/>
      <c r="F76" s="517"/>
      <c r="G76" s="525"/>
      <c r="H76" s="526"/>
      <c r="I76" s="869"/>
      <c r="J76" s="870"/>
      <c r="K76" s="520"/>
      <c r="L76" s="867"/>
      <c r="M76" s="867"/>
      <c r="N76" s="871"/>
      <c r="O76" s="871"/>
      <c r="P76" s="867"/>
      <c r="Q76" s="517"/>
    </row>
    <row r="77" spans="1:17">
      <c r="A77" s="541"/>
      <c r="B77" s="521"/>
      <c r="C77" s="518"/>
      <c r="D77" s="517"/>
      <c r="E77" s="517"/>
      <c r="F77" s="517"/>
      <c r="G77" s="525"/>
      <c r="H77" s="526"/>
      <c r="I77" s="869"/>
      <c r="J77" s="870"/>
      <c r="K77" s="520"/>
      <c r="L77" s="867"/>
      <c r="M77" s="867"/>
      <c r="N77" s="871"/>
      <c r="O77" s="871"/>
      <c r="P77" s="867"/>
      <c r="Q77" s="517"/>
    </row>
    <row r="78" spans="1:17">
      <c r="A78" s="519"/>
      <c r="B78" s="875" t="s">
        <v>1683</v>
      </c>
      <c r="C78" s="521"/>
      <c r="D78" s="524"/>
      <c r="E78" s="524"/>
      <c r="F78" s="524"/>
      <c r="G78" s="554" t="s">
        <v>284</v>
      </c>
      <c r="H78" s="526">
        <v>1</v>
      </c>
      <c r="I78" s="872"/>
      <c r="J78" s="870"/>
      <c r="K78" s="520">
        <v>800</v>
      </c>
      <c r="L78" s="867"/>
      <c r="M78" s="867"/>
      <c r="N78" s="871"/>
      <c r="O78" s="871"/>
      <c r="P78" s="867"/>
      <c r="Q78" s="517"/>
    </row>
    <row r="79" spans="1:17">
      <c r="A79" s="541"/>
      <c r="B79" s="521" t="s">
        <v>1802</v>
      </c>
      <c r="C79" s="518"/>
      <c r="D79" s="517"/>
      <c r="E79" s="517"/>
      <c r="F79" s="517"/>
      <c r="G79" s="525"/>
      <c r="H79" s="526"/>
      <c r="I79" s="869"/>
      <c r="J79" s="870"/>
      <c r="K79" s="520"/>
      <c r="L79" s="867"/>
      <c r="M79" s="867"/>
      <c r="N79" s="871"/>
      <c r="O79" s="871"/>
      <c r="P79" s="867"/>
      <c r="Q79" s="517"/>
    </row>
    <row r="80" spans="1:17">
      <c r="A80" s="541"/>
      <c r="B80" s="521" t="s">
        <v>1832</v>
      </c>
      <c r="C80" s="518"/>
      <c r="D80" s="517"/>
      <c r="E80" s="517"/>
      <c r="F80" s="517"/>
      <c r="G80" s="525"/>
      <c r="H80" s="526"/>
      <c r="I80" s="869"/>
      <c r="J80" s="870"/>
      <c r="K80" s="520"/>
      <c r="L80" s="867"/>
      <c r="M80" s="867"/>
      <c r="N80" s="871"/>
      <c r="O80" s="871"/>
      <c r="P80" s="867"/>
      <c r="Q80" s="517"/>
    </row>
    <row r="81" spans="1:17">
      <c r="A81" s="541"/>
      <c r="B81" s="521" t="s">
        <v>1833</v>
      </c>
      <c r="C81" s="518"/>
      <c r="D81" s="517"/>
      <c r="E81" s="517"/>
      <c r="F81" s="517"/>
      <c r="G81" s="525"/>
      <c r="H81" s="526"/>
      <c r="I81" s="869"/>
      <c r="J81" s="870"/>
      <c r="K81" s="520"/>
      <c r="L81" s="867"/>
      <c r="M81" s="867"/>
      <c r="N81" s="871"/>
      <c r="O81" s="871"/>
      <c r="P81" s="867"/>
      <c r="Q81" s="517"/>
    </row>
    <row r="82" spans="1:17">
      <c r="A82" s="541"/>
      <c r="B82" s="521" t="s">
        <v>1831</v>
      </c>
      <c r="C82" s="518"/>
      <c r="D82" s="517"/>
      <c r="E82" s="517"/>
      <c r="F82" s="517"/>
      <c r="G82" s="525"/>
      <c r="H82" s="526"/>
      <c r="I82" s="869"/>
      <c r="J82" s="870"/>
      <c r="K82" s="520"/>
      <c r="L82" s="867"/>
      <c r="M82" s="867"/>
      <c r="N82" s="871"/>
      <c r="O82" s="871"/>
      <c r="P82" s="867"/>
      <c r="Q82" s="517"/>
    </row>
    <row r="83" spans="1:17" ht="26.25" customHeight="1">
      <c r="A83" s="541"/>
      <c r="B83" s="534"/>
      <c r="C83" s="518"/>
      <c r="D83" s="517"/>
      <c r="E83" s="517"/>
      <c r="F83" s="517"/>
      <c r="G83" s="525"/>
      <c r="H83" s="866"/>
      <c r="I83" s="869"/>
      <c r="J83" s="870"/>
      <c r="K83" s="869"/>
      <c r="L83" s="867"/>
      <c r="M83" s="867"/>
      <c r="N83" s="871"/>
      <c r="O83" s="871"/>
      <c r="P83" s="867"/>
      <c r="Q83" s="517"/>
    </row>
    <row r="84" spans="1:17">
      <c r="A84" s="541" t="s">
        <v>2</v>
      </c>
      <c r="B84" s="534" t="s">
        <v>1834</v>
      </c>
      <c r="C84" s="517"/>
      <c r="D84" s="517"/>
      <c r="E84" s="517"/>
      <c r="F84" s="517"/>
      <c r="G84" s="525"/>
      <c r="H84" s="525"/>
      <c r="I84" s="531"/>
      <c r="J84" s="542"/>
      <c r="K84" s="531"/>
      <c r="L84" s="867"/>
      <c r="M84" s="867"/>
      <c r="N84" s="867"/>
      <c r="O84" s="867"/>
      <c r="P84" s="867"/>
      <c r="Q84" s="867"/>
    </row>
    <row r="85" spans="1:17">
      <c r="A85" s="541"/>
      <c r="B85" s="534" t="s">
        <v>1835</v>
      </c>
      <c r="C85" s="517"/>
      <c r="D85" s="517"/>
      <c r="E85" s="517"/>
      <c r="F85" s="517"/>
      <c r="G85" s="525"/>
      <c r="H85" s="876"/>
      <c r="I85" s="531"/>
      <c r="J85" s="542"/>
      <c r="K85" s="531"/>
      <c r="L85" s="867"/>
      <c r="M85" s="867"/>
      <c r="N85" s="867"/>
      <c r="O85" s="867"/>
      <c r="P85" s="867"/>
      <c r="Q85" s="867"/>
    </row>
    <row r="86" spans="1:17">
      <c r="A86" s="541"/>
      <c r="B86" s="534"/>
      <c r="C86" s="517"/>
      <c r="D86" s="517"/>
      <c r="E86" s="517"/>
      <c r="F86" s="517"/>
      <c r="G86" s="525"/>
      <c r="H86" s="876"/>
      <c r="I86" s="531"/>
      <c r="J86" s="542"/>
      <c r="K86" s="531"/>
      <c r="L86" s="867"/>
      <c r="M86" s="867"/>
      <c r="N86" s="867"/>
      <c r="O86" s="867"/>
      <c r="P86" s="867"/>
      <c r="Q86" s="867"/>
    </row>
    <row r="87" spans="1:17">
      <c r="A87" s="523"/>
      <c r="B87" s="522"/>
      <c r="C87" s="522"/>
      <c r="D87" s="529"/>
      <c r="E87" s="529"/>
      <c r="F87" s="529"/>
      <c r="G87" s="528" t="s">
        <v>284</v>
      </c>
      <c r="H87" s="528">
        <v>62</v>
      </c>
      <c r="I87" s="873"/>
      <c r="J87" s="545"/>
      <c r="K87" s="531">
        <v>100</v>
      </c>
      <c r="L87" s="867"/>
      <c r="M87" s="867"/>
      <c r="N87" s="871"/>
      <c r="O87" s="871"/>
      <c r="P87" s="867"/>
      <c r="Q87" s="517"/>
    </row>
    <row r="88" spans="1:17">
      <c r="A88" s="541"/>
      <c r="B88" s="521"/>
      <c r="C88" s="518"/>
      <c r="D88" s="517"/>
      <c r="E88" s="517"/>
      <c r="F88" s="517"/>
      <c r="G88" s="525"/>
      <c r="H88" s="525"/>
      <c r="I88" s="869"/>
      <c r="J88" s="543"/>
      <c r="K88" s="531"/>
      <c r="L88" s="867"/>
      <c r="M88" s="867"/>
      <c r="N88" s="871"/>
      <c r="O88" s="871"/>
      <c r="P88" s="867"/>
      <c r="Q88" s="517"/>
    </row>
    <row r="89" spans="1:17">
      <c r="A89" s="541" t="s">
        <v>3</v>
      </c>
      <c r="B89" s="534" t="s">
        <v>1836</v>
      </c>
      <c r="C89" s="518"/>
      <c r="D89" s="517"/>
      <c r="E89" s="517"/>
      <c r="F89" s="517"/>
      <c r="G89" s="525"/>
      <c r="H89" s="525"/>
      <c r="I89" s="869"/>
      <c r="J89" s="543"/>
      <c r="K89" s="531"/>
      <c r="L89" s="867"/>
      <c r="M89" s="867"/>
      <c r="N89" s="871"/>
      <c r="O89" s="871"/>
      <c r="P89" s="867"/>
      <c r="Q89" s="517"/>
    </row>
    <row r="90" spans="1:17">
      <c r="A90" s="541"/>
      <c r="B90" s="534" t="s">
        <v>1835</v>
      </c>
      <c r="C90" s="518"/>
      <c r="D90" s="517"/>
      <c r="E90" s="517"/>
      <c r="F90" s="517"/>
      <c r="G90" s="525"/>
      <c r="H90" s="525"/>
      <c r="I90" s="869"/>
      <c r="J90" s="543"/>
      <c r="K90" s="531"/>
      <c r="L90" s="867"/>
      <c r="M90" s="867"/>
      <c r="N90" s="871"/>
      <c r="O90" s="871"/>
      <c r="P90" s="867"/>
      <c r="Q90" s="517"/>
    </row>
    <row r="91" spans="1:17">
      <c r="A91" s="541"/>
      <c r="B91" s="534"/>
      <c r="C91" s="518"/>
      <c r="D91" s="517"/>
      <c r="E91" s="517"/>
      <c r="F91" s="517"/>
      <c r="G91" s="525"/>
      <c r="H91" s="525"/>
      <c r="I91" s="869"/>
      <c r="J91" s="543"/>
      <c r="K91" s="531"/>
      <c r="L91" s="867"/>
      <c r="M91" s="867"/>
      <c r="N91" s="871"/>
      <c r="O91" s="871"/>
      <c r="P91" s="867"/>
      <c r="Q91" s="517"/>
    </row>
    <row r="92" spans="1:17">
      <c r="A92" s="523"/>
      <c r="B92" s="877"/>
      <c r="C92" s="522"/>
      <c r="D92" s="529"/>
      <c r="E92" s="529"/>
      <c r="F92" s="529"/>
      <c r="G92" s="528" t="s">
        <v>284</v>
      </c>
      <c r="H92" s="528">
        <v>44</v>
      </c>
      <c r="I92" s="873"/>
      <c r="J92" s="545"/>
      <c r="K92" s="531">
        <v>70</v>
      </c>
      <c r="L92" s="867"/>
      <c r="M92" s="867"/>
      <c r="N92" s="871"/>
      <c r="O92" s="871"/>
      <c r="P92" s="867"/>
      <c r="Q92" s="517"/>
    </row>
    <row r="93" spans="1:17">
      <c r="A93" s="541"/>
      <c r="B93" s="534"/>
      <c r="C93" s="518"/>
      <c r="D93" s="517"/>
      <c r="E93" s="517"/>
      <c r="F93" s="517"/>
      <c r="G93" s="525"/>
      <c r="H93" s="866"/>
      <c r="I93" s="869"/>
      <c r="J93" s="870"/>
      <c r="K93" s="869"/>
      <c r="L93" s="867"/>
      <c r="M93" s="867"/>
      <c r="N93" s="871"/>
      <c r="O93" s="871"/>
      <c r="P93" s="867"/>
      <c r="Q93" s="517"/>
    </row>
    <row r="94" spans="1:17">
      <c r="A94" s="541" t="s">
        <v>4</v>
      </c>
      <c r="B94" s="534" t="s">
        <v>1837</v>
      </c>
      <c r="C94" s="517"/>
      <c r="D94" s="517"/>
      <c r="E94" s="517"/>
      <c r="F94" s="517"/>
      <c r="G94" s="525"/>
      <c r="H94" s="525"/>
      <c r="I94" s="531"/>
      <c r="J94" s="542"/>
      <c r="K94" s="531"/>
      <c r="L94" s="867"/>
      <c r="M94" s="867"/>
      <c r="N94" s="867"/>
      <c r="O94" s="867"/>
      <c r="P94" s="867"/>
      <c r="Q94" s="867"/>
    </row>
    <row r="95" spans="1:17">
      <c r="A95" s="541"/>
      <c r="B95" s="534" t="s">
        <v>1835</v>
      </c>
      <c r="C95" s="517"/>
      <c r="D95" s="517"/>
      <c r="E95" s="517"/>
      <c r="F95" s="517"/>
      <c r="G95" s="525"/>
      <c r="H95" s="876"/>
      <c r="I95" s="531"/>
      <c r="J95" s="542"/>
      <c r="K95" s="531"/>
      <c r="L95" s="867"/>
      <c r="M95" s="867"/>
      <c r="N95" s="867"/>
      <c r="O95" s="867"/>
      <c r="P95" s="867"/>
      <c r="Q95" s="867"/>
    </row>
    <row r="96" spans="1:17">
      <c r="A96" s="541"/>
      <c r="B96" s="534"/>
      <c r="C96" s="517"/>
      <c r="D96" s="517"/>
      <c r="E96" s="517"/>
      <c r="F96" s="517"/>
      <c r="G96" s="525"/>
      <c r="H96" s="876"/>
      <c r="I96" s="531"/>
      <c r="J96" s="542"/>
      <c r="K96" s="531"/>
      <c r="L96" s="867"/>
      <c r="M96" s="867"/>
      <c r="N96" s="867"/>
      <c r="O96" s="867"/>
      <c r="P96" s="867"/>
      <c r="Q96" s="867"/>
    </row>
    <row r="97" spans="1:17">
      <c r="A97" s="523"/>
      <c r="B97" s="529"/>
      <c r="C97" s="529"/>
      <c r="D97" s="529"/>
      <c r="E97" s="529"/>
      <c r="F97" s="529"/>
      <c r="G97" s="528" t="s">
        <v>284</v>
      </c>
      <c r="H97" s="528">
        <v>18</v>
      </c>
      <c r="I97" s="873"/>
      <c r="J97" s="545"/>
      <c r="K97" s="531">
        <v>45</v>
      </c>
      <c r="L97" s="867"/>
      <c r="M97" s="867"/>
      <c r="N97" s="867"/>
      <c r="O97" s="867"/>
      <c r="P97" s="867"/>
      <c r="Q97" s="867"/>
    </row>
    <row r="98" spans="1:17">
      <c r="A98" s="541"/>
      <c r="B98" s="517"/>
      <c r="C98" s="517"/>
      <c r="D98" s="517"/>
      <c r="E98" s="517"/>
      <c r="F98" s="517"/>
      <c r="G98" s="525"/>
      <c r="H98" s="525"/>
      <c r="I98" s="869"/>
      <c r="J98" s="543"/>
      <c r="K98" s="531"/>
      <c r="L98" s="867"/>
      <c r="M98" s="867"/>
      <c r="N98" s="867"/>
      <c r="O98" s="867"/>
      <c r="P98" s="867"/>
      <c r="Q98" s="867"/>
    </row>
    <row r="99" spans="1:17">
      <c r="A99" s="541" t="s">
        <v>5</v>
      </c>
      <c r="B99" s="534" t="s">
        <v>1836</v>
      </c>
      <c r="C99" s="518"/>
      <c r="D99" s="517"/>
      <c r="E99" s="517"/>
      <c r="F99" s="517"/>
      <c r="G99" s="525"/>
      <c r="H99" s="525"/>
      <c r="I99" s="869"/>
      <c r="J99" s="543"/>
      <c r="K99" s="531"/>
      <c r="L99" s="867"/>
      <c r="M99" s="867"/>
      <c r="N99" s="871"/>
      <c r="O99" s="871"/>
      <c r="P99" s="867"/>
      <c r="Q99" s="517"/>
    </row>
    <row r="100" spans="1:17">
      <c r="A100" s="541"/>
      <c r="B100" s="534" t="s">
        <v>1703</v>
      </c>
      <c r="C100" s="518"/>
      <c r="D100" s="517"/>
      <c r="E100" s="517"/>
      <c r="F100" s="517"/>
      <c r="G100" s="525"/>
      <c r="H100" s="525"/>
      <c r="I100" s="869"/>
      <c r="J100" s="543"/>
      <c r="K100" s="531"/>
      <c r="L100" s="867"/>
      <c r="M100" s="867"/>
      <c r="N100" s="871"/>
      <c r="O100" s="871"/>
      <c r="P100" s="867"/>
      <c r="Q100" s="517"/>
    </row>
    <row r="101" spans="1:17">
      <c r="A101" s="541"/>
      <c r="B101" s="534"/>
      <c r="C101" s="518"/>
      <c r="D101" s="517"/>
      <c r="E101" s="517"/>
      <c r="F101" s="517"/>
      <c r="G101" s="525"/>
      <c r="H101" s="525"/>
      <c r="I101" s="869"/>
      <c r="J101" s="543"/>
      <c r="K101" s="531"/>
      <c r="L101" s="867"/>
      <c r="M101" s="867"/>
      <c r="N101" s="871"/>
      <c r="O101" s="871"/>
      <c r="P101" s="867"/>
      <c r="Q101" s="517"/>
    </row>
    <row r="102" spans="1:17" ht="16.5" thickBot="1">
      <c r="A102" s="523"/>
      <c r="B102" s="529"/>
      <c r="C102" s="529"/>
      <c r="D102" s="877"/>
      <c r="E102" s="877"/>
      <c r="F102" s="877"/>
      <c r="G102" s="530" t="s">
        <v>284</v>
      </c>
      <c r="H102" s="530">
        <v>3</v>
      </c>
      <c r="I102" s="878"/>
      <c r="J102" s="545"/>
      <c r="K102" s="531">
        <v>374</v>
      </c>
      <c r="L102" s="867"/>
      <c r="M102" s="867"/>
      <c r="N102" s="867"/>
      <c r="O102" s="867"/>
      <c r="P102" s="867"/>
      <c r="Q102" s="867"/>
    </row>
    <row r="103" spans="1:17" ht="17.25" thickTop="1" thickBot="1">
      <c r="A103" s="879"/>
      <c r="B103" s="880"/>
      <c r="C103" s="514"/>
      <c r="D103" s="514"/>
      <c r="E103" s="514"/>
      <c r="F103" s="514"/>
      <c r="G103" s="548"/>
      <c r="H103" s="881" t="s">
        <v>1684</v>
      </c>
      <c r="I103" s="550"/>
      <c r="J103" s="911"/>
      <c r="K103" s="515"/>
      <c r="L103" s="514"/>
      <c r="M103" s="514"/>
      <c r="N103" s="515"/>
      <c r="O103" s="515"/>
      <c r="P103" s="514"/>
      <c r="Q103" s="514"/>
    </row>
    <row r="104" spans="1:17" ht="16.5" thickTop="1">
      <c r="A104" s="879"/>
      <c r="B104" s="880"/>
      <c r="C104" s="514"/>
      <c r="D104" s="514"/>
      <c r="E104" s="514"/>
      <c r="F104" s="514"/>
      <c r="G104" s="577"/>
      <c r="H104" s="577"/>
      <c r="I104" s="515"/>
      <c r="J104" s="882"/>
      <c r="K104" s="515"/>
      <c r="L104" s="514"/>
      <c r="M104" s="514"/>
      <c r="N104" s="515"/>
      <c r="O104" s="515"/>
      <c r="P104" s="514"/>
    </row>
    <row r="105" spans="1:17" ht="17.25">
      <c r="A105" s="537" t="s">
        <v>624</v>
      </c>
      <c r="B105" s="880"/>
      <c r="C105" s="514"/>
      <c r="D105" s="514"/>
      <c r="E105" s="514"/>
      <c r="F105" s="514"/>
      <c r="G105" s="577"/>
      <c r="H105" s="577"/>
      <c r="I105" s="515"/>
      <c r="J105" s="882"/>
      <c r="K105" s="515"/>
      <c r="L105" s="514"/>
      <c r="M105" s="514"/>
      <c r="N105" s="515"/>
      <c r="O105" s="515"/>
      <c r="P105" s="516">
        <v>0.2</v>
      </c>
    </row>
    <row r="106" spans="1:17">
      <c r="A106" s="883"/>
      <c r="B106" s="534"/>
      <c r="C106" s="517"/>
      <c r="D106" s="517"/>
      <c r="E106" s="517"/>
      <c r="F106" s="517"/>
      <c r="G106" s="525"/>
      <c r="H106" s="525"/>
      <c r="I106" s="531"/>
      <c r="J106" s="542"/>
      <c r="K106" s="531"/>
      <c r="L106" s="517"/>
      <c r="M106" s="517"/>
      <c r="N106" s="531"/>
      <c r="O106" s="531"/>
      <c r="P106" s="532"/>
      <c r="Q106" s="517"/>
    </row>
    <row r="107" spans="1:17">
      <c r="A107" s="541" t="s">
        <v>0</v>
      </c>
      <c r="B107" s="534" t="s">
        <v>625</v>
      </c>
      <c r="C107" s="517"/>
      <c r="D107" s="517"/>
      <c r="E107" s="517"/>
      <c r="F107" s="517"/>
      <c r="G107" s="525"/>
      <c r="H107" s="525"/>
      <c r="I107" s="531"/>
      <c r="J107" s="542"/>
      <c r="K107" s="531"/>
      <c r="L107" s="867"/>
      <c r="M107" s="867"/>
      <c r="N107" s="867"/>
      <c r="O107" s="867"/>
      <c r="P107" s="867"/>
      <c r="Q107" s="867"/>
    </row>
    <row r="108" spans="1:17">
      <c r="A108" s="539"/>
      <c r="B108" s="534" t="s">
        <v>626</v>
      </c>
      <c r="C108" s="517"/>
      <c r="D108" s="517"/>
      <c r="E108" s="517"/>
      <c r="F108" s="517"/>
      <c r="G108" s="525"/>
      <c r="H108" s="525"/>
      <c r="I108" s="531"/>
      <c r="J108" s="542"/>
      <c r="K108" s="531"/>
      <c r="L108" s="867"/>
      <c r="M108" s="867"/>
      <c r="N108" s="867"/>
      <c r="O108" s="867"/>
      <c r="P108" s="867"/>
      <c r="Q108" s="867"/>
    </row>
    <row r="109" spans="1:17">
      <c r="A109" s="539"/>
      <c r="B109" s="534" t="s">
        <v>627</v>
      </c>
      <c r="C109" s="517"/>
      <c r="D109" s="517"/>
      <c r="E109" s="517"/>
      <c r="F109" s="517"/>
      <c r="G109" s="525"/>
      <c r="H109" s="525"/>
      <c r="I109" s="531"/>
      <c r="J109" s="542"/>
      <c r="K109" s="531"/>
      <c r="L109" s="867"/>
      <c r="M109" s="867"/>
      <c r="N109" s="867"/>
      <c r="O109" s="867"/>
      <c r="P109" s="867"/>
      <c r="Q109" s="867"/>
    </row>
    <row r="110" spans="1:17">
      <c r="A110" s="539"/>
      <c r="B110" s="534"/>
      <c r="C110" s="517"/>
      <c r="D110" s="517"/>
      <c r="E110" s="517"/>
      <c r="F110" s="517"/>
      <c r="G110" s="525"/>
      <c r="H110" s="525"/>
      <c r="I110" s="531"/>
      <c r="J110" s="542"/>
      <c r="K110" s="531"/>
      <c r="L110" s="867"/>
      <c r="M110" s="867"/>
      <c r="N110" s="867"/>
      <c r="O110" s="867"/>
      <c r="P110" s="867"/>
      <c r="Q110" s="867"/>
    </row>
    <row r="111" spans="1:17">
      <c r="A111" s="539"/>
      <c r="B111" s="534"/>
      <c r="C111" s="517" t="s">
        <v>628</v>
      </c>
      <c r="D111" s="517"/>
      <c r="E111" s="517"/>
      <c r="F111" s="517"/>
      <c r="G111" s="525"/>
      <c r="H111" s="525"/>
      <c r="I111" s="531"/>
      <c r="J111" s="542"/>
      <c r="K111" s="531"/>
      <c r="L111" s="867"/>
      <c r="M111" s="867"/>
      <c r="N111" s="867"/>
      <c r="O111" s="867"/>
      <c r="P111" s="867"/>
      <c r="Q111" s="867"/>
    </row>
    <row r="112" spans="1:17">
      <c r="A112" s="539"/>
      <c r="B112" s="534"/>
      <c r="C112" s="517" t="s">
        <v>352</v>
      </c>
      <c r="D112" s="517"/>
      <c r="E112" s="517"/>
      <c r="F112" s="517"/>
      <c r="G112" s="525" t="s">
        <v>1566</v>
      </c>
      <c r="H112" s="525">
        <v>450</v>
      </c>
      <c r="I112" s="533"/>
      <c r="J112" s="543"/>
      <c r="K112" s="531"/>
      <c r="L112" s="884">
        <v>0.11899999999999999</v>
      </c>
      <c r="M112" s="867"/>
      <c r="N112" s="867"/>
      <c r="O112" s="867"/>
      <c r="P112" s="867">
        <v>35</v>
      </c>
      <c r="Q112" s="867">
        <v>105</v>
      </c>
    </row>
    <row r="113" spans="1:17">
      <c r="A113" s="539"/>
      <c r="B113" s="534"/>
      <c r="C113" s="517" t="s">
        <v>353</v>
      </c>
      <c r="D113" s="517"/>
      <c r="E113" s="517"/>
      <c r="F113" s="517"/>
      <c r="G113" s="525" t="s">
        <v>1566</v>
      </c>
      <c r="H113" s="525">
        <v>80</v>
      </c>
      <c r="I113" s="533"/>
      <c r="J113" s="543"/>
      <c r="K113" s="531"/>
      <c r="L113" s="884">
        <v>0.19700000000000001</v>
      </c>
      <c r="M113" s="867"/>
      <c r="N113" s="867"/>
      <c r="O113" s="867"/>
      <c r="P113" s="867">
        <v>55</v>
      </c>
      <c r="Q113" s="867">
        <v>165</v>
      </c>
    </row>
    <row r="114" spans="1:17">
      <c r="A114" s="539"/>
      <c r="B114" s="534"/>
      <c r="C114" s="517" t="s">
        <v>354</v>
      </c>
      <c r="D114" s="517"/>
      <c r="E114" s="517"/>
      <c r="F114" s="517"/>
      <c r="G114" s="525" t="s">
        <v>1566</v>
      </c>
      <c r="H114" s="525">
        <v>20</v>
      </c>
      <c r="I114" s="533"/>
      <c r="J114" s="543"/>
      <c r="K114" s="531"/>
      <c r="L114" s="884">
        <v>0.26900000000000002</v>
      </c>
      <c r="M114" s="867"/>
      <c r="N114" s="867"/>
      <c r="O114" s="867"/>
      <c r="P114" s="867">
        <v>66</v>
      </c>
      <c r="Q114" s="867">
        <v>198</v>
      </c>
    </row>
    <row r="115" spans="1:17">
      <c r="A115" s="539"/>
      <c r="B115" s="534"/>
      <c r="C115" s="517" t="s">
        <v>355</v>
      </c>
      <c r="D115" s="517"/>
      <c r="E115" s="517"/>
      <c r="F115" s="517"/>
      <c r="G115" s="525" t="s">
        <v>1566</v>
      </c>
      <c r="H115" s="525">
        <v>30</v>
      </c>
      <c r="I115" s="533"/>
      <c r="J115" s="543"/>
      <c r="K115" s="531"/>
      <c r="L115" s="884">
        <v>0.36599999999999999</v>
      </c>
      <c r="M115" s="867"/>
      <c r="N115" s="867"/>
      <c r="O115" s="867"/>
      <c r="P115" s="867">
        <v>85</v>
      </c>
      <c r="Q115" s="867">
        <v>255</v>
      </c>
    </row>
    <row r="116" spans="1:17">
      <c r="A116" s="539"/>
      <c r="B116" s="534"/>
      <c r="C116" s="517" t="s">
        <v>629</v>
      </c>
      <c r="D116" s="517"/>
      <c r="E116" s="517"/>
      <c r="F116" s="517"/>
      <c r="G116" s="525"/>
      <c r="H116" s="525"/>
      <c r="I116" s="533"/>
      <c r="J116" s="543"/>
      <c r="K116" s="531"/>
      <c r="L116" s="884"/>
      <c r="M116" s="867"/>
      <c r="N116" s="867"/>
      <c r="O116" s="867"/>
      <c r="P116" s="867"/>
      <c r="Q116" s="867"/>
    </row>
    <row r="117" spans="1:17">
      <c r="A117" s="539"/>
      <c r="B117" s="534"/>
      <c r="C117" s="517" t="s">
        <v>354</v>
      </c>
      <c r="D117" s="517"/>
      <c r="E117" s="517"/>
      <c r="F117" s="517"/>
      <c r="G117" s="525" t="s">
        <v>1566</v>
      </c>
      <c r="H117" s="525">
        <v>450</v>
      </c>
      <c r="I117" s="533"/>
      <c r="J117" s="543"/>
      <c r="K117" s="531"/>
      <c r="L117" s="884">
        <v>0.26900000000000002</v>
      </c>
      <c r="M117" s="867"/>
      <c r="N117" s="867"/>
      <c r="O117" s="867"/>
      <c r="P117" s="867">
        <v>66</v>
      </c>
      <c r="Q117" s="867">
        <v>198</v>
      </c>
    </row>
    <row r="118" spans="1:17">
      <c r="A118" s="539"/>
      <c r="B118" s="534"/>
      <c r="C118" s="517" t="s">
        <v>355</v>
      </c>
      <c r="D118" s="517"/>
      <c r="E118" s="517"/>
      <c r="F118" s="517"/>
      <c r="G118" s="525" t="s">
        <v>1566</v>
      </c>
      <c r="H118" s="525">
        <v>30</v>
      </c>
      <c r="I118" s="533"/>
      <c r="J118" s="543"/>
      <c r="K118" s="531"/>
      <c r="L118" s="884">
        <v>0.36599999999999999</v>
      </c>
      <c r="M118" s="867"/>
      <c r="N118" s="867"/>
      <c r="O118" s="867"/>
      <c r="P118" s="867">
        <v>85</v>
      </c>
      <c r="Q118" s="867">
        <v>255</v>
      </c>
    </row>
    <row r="119" spans="1:17">
      <c r="A119" s="539"/>
      <c r="B119" s="534"/>
      <c r="C119" s="517" t="s">
        <v>356</v>
      </c>
      <c r="D119" s="517"/>
      <c r="E119" s="517"/>
      <c r="F119" s="517"/>
      <c r="G119" s="525" t="s">
        <v>1566</v>
      </c>
      <c r="H119" s="525">
        <v>30</v>
      </c>
      <c r="I119" s="533"/>
      <c r="J119" s="543"/>
      <c r="K119" s="531"/>
      <c r="L119" s="884">
        <v>0.45200000000000001</v>
      </c>
      <c r="M119" s="867"/>
      <c r="N119" s="867"/>
      <c r="O119" s="867"/>
      <c r="P119" s="867"/>
      <c r="Q119" s="867"/>
    </row>
    <row r="120" spans="1:17">
      <c r="A120" s="539"/>
      <c r="B120" s="534"/>
      <c r="C120" s="517" t="s">
        <v>357</v>
      </c>
      <c r="D120" s="517"/>
      <c r="E120" s="517"/>
      <c r="F120" s="517"/>
      <c r="G120" s="525" t="s">
        <v>1566</v>
      </c>
      <c r="H120" s="525">
        <v>25</v>
      </c>
      <c r="I120" s="533"/>
      <c r="J120" s="543"/>
      <c r="K120" s="531"/>
      <c r="L120" s="884">
        <v>0.67200000000000004</v>
      </c>
      <c r="M120" s="867"/>
      <c r="N120" s="867"/>
      <c r="O120" s="867"/>
      <c r="P120" s="867">
        <v>129</v>
      </c>
      <c r="Q120" s="867">
        <v>387</v>
      </c>
    </row>
    <row r="121" spans="1:17">
      <c r="A121" s="539"/>
      <c r="B121" s="534"/>
      <c r="C121" s="517" t="s">
        <v>358</v>
      </c>
      <c r="D121" s="517"/>
      <c r="E121" s="517"/>
      <c r="F121" s="517"/>
      <c r="G121" s="525" t="s">
        <v>1566</v>
      </c>
      <c r="H121" s="525">
        <v>55</v>
      </c>
      <c r="I121" s="533"/>
      <c r="J121" s="543"/>
      <c r="K121" s="531"/>
      <c r="L121" s="884">
        <v>1.1599999999999999</v>
      </c>
      <c r="M121" s="867"/>
      <c r="N121" s="867"/>
      <c r="O121" s="867"/>
      <c r="P121" s="867">
        <v>160</v>
      </c>
      <c r="Q121" s="867">
        <v>480</v>
      </c>
    </row>
    <row r="122" spans="1:17" ht="16.5" thickBot="1">
      <c r="A122" s="539"/>
      <c r="B122" s="534"/>
      <c r="C122" s="517"/>
      <c r="D122" s="517"/>
      <c r="E122" s="517"/>
      <c r="F122" s="517"/>
      <c r="G122" s="530"/>
      <c r="H122" s="530"/>
      <c r="I122" s="885"/>
      <c r="J122" s="886"/>
      <c r="K122" s="531"/>
      <c r="L122" s="867"/>
      <c r="M122" s="867"/>
      <c r="N122" s="867"/>
      <c r="O122" s="867"/>
      <c r="P122" s="867"/>
      <c r="Q122" s="867"/>
    </row>
    <row r="123" spans="1:17" ht="16.5" thickTop="1">
      <c r="A123" s="544"/>
      <c r="B123" s="877"/>
      <c r="C123" s="529"/>
      <c r="D123" s="529"/>
      <c r="E123" s="529"/>
      <c r="F123" s="529"/>
      <c r="G123" s="528"/>
      <c r="H123" s="528"/>
      <c r="I123" s="553"/>
      <c r="J123" s="912"/>
      <c r="K123" s="531"/>
      <c r="L123" s="867"/>
      <c r="M123" s="867"/>
      <c r="N123" s="867"/>
      <c r="O123" s="867"/>
      <c r="P123" s="867"/>
      <c r="Q123" s="867"/>
    </row>
    <row r="124" spans="1:17">
      <c r="A124" s="539"/>
      <c r="B124" s="534"/>
      <c r="C124" s="517"/>
      <c r="D124" s="517"/>
      <c r="E124" s="517"/>
      <c r="F124" s="517"/>
      <c r="G124" s="525"/>
      <c r="H124" s="525"/>
      <c r="I124" s="531"/>
      <c r="J124" s="542"/>
      <c r="K124" s="531"/>
      <c r="L124" s="867"/>
      <c r="M124" s="867"/>
      <c r="N124" s="867"/>
      <c r="O124" s="867"/>
      <c r="P124" s="867"/>
      <c r="Q124" s="867"/>
    </row>
    <row r="125" spans="1:17">
      <c r="A125" s="541" t="s">
        <v>1</v>
      </c>
      <c r="B125" s="534" t="s">
        <v>1704</v>
      </c>
      <c r="C125" s="534"/>
      <c r="D125" s="534"/>
      <c r="E125" s="534"/>
      <c r="F125" s="534"/>
      <c r="G125" s="525"/>
      <c r="H125" s="525"/>
      <c r="I125" s="531"/>
      <c r="J125" s="542"/>
      <c r="K125" s="531"/>
      <c r="L125" s="867"/>
      <c r="M125" s="867"/>
      <c r="N125" s="867"/>
      <c r="O125" s="867"/>
      <c r="P125" s="867"/>
      <c r="Q125" s="867"/>
    </row>
    <row r="126" spans="1:17">
      <c r="A126" s="539"/>
      <c r="B126" s="534" t="s">
        <v>1705</v>
      </c>
      <c r="C126" s="517"/>
      <c r="D126" s="517"/>
      <c r="E126" s="517"/>
      <c r="F126" s="517"/>
      <c r="G126" s="525"/>
      <c r="H126" s="525"/>
      <c r="I126" s="531"/>
      <c r="J126" s="542"/>
      <c r="K126" s="531"/>
      <c r="L126" s="867"/>
      <c r="M126" s="867"/>
      <c r="N126" s="867"/>
      <c r="O126" s="867"/>
      <c r="P126" s="867"/>
      <c r="Q126" s="867"/>
    </row>
    <row r="127" spans="1:17">
      <c r="A127" s="539"/>
      <c r="B127" s="534" t="s">
        <v>630</v>
      </c>
      <c r="C127" s="517"/>
      <c r="D127" s="517"/>
      <c r="E127" s="517"/>
      <c r="F127" s="517"/>
      <c r="G127" s="525"/>
      <c r="H127" s="525"/>
      <c r="I127" s="531"/>
      <c r="J127" s="542"/>
      <c r="K127" s="531"/>
      <c r="L127" s="867"/>
      <c r="M127" s="867"/>
      <c r="N127" s="867"/>
      <c r="O127" s="867"/>
      <c r="P127" s="867"/>
      <c r="Q127" s="867"/>
    </row>
    <row r="128" spans="1:17">
      <c r="A128" s="544"/>
      <c r="B128" s="877"/>
      <c r="C128" s="529"/>
      <c r="D128" s="529"/>
      <c r="E128" s="529"/>
      <c r="F128" s="529"/>
      <c r="G128" s="528"/>
      <c r="H128" s="888">
        <v>0.4</v>
      </c>
      <c r="I128" s="553"/>
      <c r="J128" s="545"/>
      <c r="K128" s="531"/>
      <c r="L128" s="867"/>
      <c r="M128" s="867"/>
      <c r="N128" s="867"/>
      <c r="O128" s="867"/>
      <c r="P128" s="867"/>
      <c r="Q128" s="867"/>
    </row>
    <row r="129" spans="1:17">
      <c r="A129" s="541"/>
      <c r="B129" s="534"/>
      <c r="C129" s="517"/>
      <c r="D129" s="517"/>
      <c r="E129" s="517"/>
      <c r="F129" s="517"/>
      <c r="G129" s="525"/>
      <c r="H129" s="525"/>
      <c r="I129" s="531"/>
      <c r="J129" s="543"/>
      <c r="K129" s="531"/>
      <c r="L129" s="867"/>
      <c r="M129" s="867"/>
      <c r="N129" s="867"/>
      <c r="O129" s="867"/>
      <c r="P129" s="867"/>
      <c r="Q129" s="867"/>
    </row>
    <row r="130" spans="1:17">
      <c r="A130" s="541" t="s">
        <v>2</v>
      </c>
      <c r="B130" s="517" t="s">
        <v>1838</v>
      </c>
      <c r="C130" s="517"/>
      <c r="D130" s="517"/>
      <c r="E130" s="517"/>
      <c r="F130" s="517"/>
      <c r="G130" s="525"/>
      <c r="H130" s="525"/>
      <c r="I130" s="531"/>
      <c r="J130" s="543"/>
      <c r="K130" s="531"/>
      <c r="L130" s="867"/>
      <c r="M130" s="867"/>
      <c r="N130" s="867"/>
      <c r="O130" s="867"/>
      <c r="P130" s="867"/>
      <c r="Q130" s="867"/>
    </row>
    <row r="131" spans="1:17">
      <c r="A131" s="541"/>
      <c r="B131" s="534" t="s">
        <v>1839</v>
      </c>
      <c r="C131" s="517"/>
      <c r="D131" s="517"/>
      <c r="E131" s="517"/>
      <c r="F131" s="517"/>
      <c r="G131" s="525"/>
      <c r="H131" s="525"/>
      <c r="I131" s="531"/>
      <c r="J131" s="543"/>
      <c r="K131" s="531"/>
      <c r="L131" s="867"/>
      <c r="M131" s="867"/>
      <c r="N131" s="867"/>
      <c r="O131" s="867"/>
      <c r="P131" s="867"/>
      <c r="Q131" s="867"/>
    </row>
    <row r="132" spans="1:17">
      <c r="A132" s="541"/>
      <c r="B132" s="534" t="s">
        <v>1840</v>
      </c>
      <c r="C132" s="517"/>
      <c r="D132" s="517"/>
      <c r="E132" s="517"/>
      <c r="F132" s="517"/>
      <c r="G132" s="525"/>
      <c r="H132" s="525"/>
      <c r="I132" s="531"/>
      <c r="J132" s="543"/>
      <c r="K132" s="531"/>
      <c r="L132" s="867"/>
      <c r="M132" s="867"/>
      <c r="N132" s="867"/>
      <c r="O132" s="867"/>
      <c r="P132" s="867"/>
      <c r="Q132" s="867"/>
    </row>
    <row r="133" spans="1:17">
      <c r="A133" s="541"/>
      <c r="B133" s="534" t="s">
        <v>1841</v>
      </c>
      <c r="C133" s="517"/>
      <c r="D133" s="517"/>
      <c r="E133" s="517"/>
      <c r="F133" s="517"/>
      <c r="G133" s="525"/>
      <c r="H133" s="525"/>
      <c r="I133" s="531"/>
      <c r="J133" s="543"/>
      <c r="K133" s="531"/>
      <c r="L133" s="867"/>
      <c r="M133" s="867"/>
      <c r="N133" s="867"/>
      <c r="O133" s="867"/>
      <c r="P133" s="867"/>
      <c r="Q133" s="867"/>
    </row>
    <row r="134" spans="1:17">
      <c r="A134" s="541"/>
      <c r="B134" s="534"/>
      <c r="C134" s="517"/>
      <c r="D134" s="517"/>
      <c r="E134" s="517"/>
      <c r="F134" s="517"/>
      <c r="G134" s="525"/>
      <c r="H134" s="525"/>
      <c r="I134" s="531"/>
      <c r="J134" s="543"/>
      <c r="K134" s="531"/>
      <c r="L134" s="867"/>
      <c r="M134" s="867"/>
      <c r="N134" s="867"/>
      <c r="O134" s="867"/>
      <c r="P134" s="867"/>
      <c r="Q134" s="867"/>
    </row>
    <row r="135" spans="1:17">
      <c r="A135" s="541"/>
      <c r="B135" s="535" t="s">
        <v>1842</v>
      </c>
      <c r="C135" s="517"/>
      <c r="D135" s="517"/>
      <c r="E135" s="517"/>
      <c r="F135" s="517"/>
      <c r="G135" s="525" t="s">
        <v>1687</v>
      </c>
      <c r="H135" s="525">
        <v>7</v>
      </c>
      <c r="I135" s="531"/>
      <c r="J135" s="543"/>
      <c r="K135" s="531">
        <v>117.6</v>
      </c>
      <c r="L135" s="867">
        <v>1.4</v>
      </c>
      <c r="M135" s="867">
        <v>84</v>
      </c>
      <c r="N135" s="867"/>
      <c r="O135" s="867"/>
      <c r="P135" s="867"/>
      <c r="Q135" s="867"/>
    </row>
    <row r="136" spans="1:17">
      <c r="A136" s="541"/>
      <c r="B136" s="555" t="s">
        <v>1843</v>
      </c>
      <c r="C136" s="517"/>
      <c r="D136" s="517"/>
      <c r="E136" s="517"/>
      <c r="F136" s="517"/>
      <c r="G136" s="525"/>
      <c r="H136" s="525"/>
      <c r="I136" s="531"/>
      <c r="J136" s="543"/>
      <c r="K136" s="531"/>
      <c r="L136" s="867"/>
      <c r="M136" s="867"/>
      <c r="N136" s="867"/>
      <c r="O136" s="867"/>
      <c r="P136" s="867"/>
      <c r="Q136" s="867"/>
    </row>
    <row r="137" spans="1:17">
      <c r="A137" s="541"/>
      <c r="B137" s="535"/>
      <c r="C137" s="517"/>
      <c r="D137" s="517"/>
      <c r="E137" s="517"/>
      <c r="F137" s="517"/>
      <c r="G137" s="525"/>
      <c r="H137" s="525"/>
      <c r="I137" s="531"/>
      <c r="J137" s="543"/>
      <c r="K137" s="531"/>
      <c r="L137" s="867"/>
      <c r="M137" s="867"/>
      <c r="N137" s="867"/>
      <c r="O137" s="867"/>
      <c r="P137" s="867"/>
      <c r="Q137" s="867"/>
    </row>
    <row r="138" spans="1:17">
      <c r="A138" s="541"/>
      <c r="B138" s="535" t="s">
        <v>1844</v>
      </c>
      <c r="C138" s="517"/>
      <c r="D138" s="517"/>
      <c r="E138" s="517"/>
      <c r="F138" s="517"/>
      <c r="G138" s="525" t="s">
        <v>1687</v>
      </c>
      <c r="H138" s="525">
        <v>2</v>
      </c>
      <c r="I138" s="531"/>
      <c r="J138" s="543"/>
      <c r="K138" s="531">
        <v>172.2</v>
      </c>
      <c r="L138" s="867">
        <v>1.4</v>
      </c>
      <c r="M138" s="867">
        <v>123</v>
      </c>
      <c r="N138" s="867"/>
      <c r="O138" s="867"/>
      <c r="P138" s="867"/>
      <c r="Q138" s="867"/>
    </row>
    <row r="139" spans="1:17">
      <c r="A139" s="541"/>
      <c r="B139" s="535" t="s">
        <v>1845</v>
      </c>
      <c r="C139" s="517"/>
      <c r="D139" s="517"/>
      <c r="E139" s="517"/>
      <c r="F139" s="517"/>
      <c r="G139" s="525"/>
      <c r="H139" s="525"/>
      <c r="I139" s="531"/>
      <c r="J139" s="543"/>
      <c r="K139" s="531"/>
      <c r="L139" s="867"/>
      <c r="M139" s="867"/>
      <c r="N139" s="867"/>
      <c r="O139" s="867"/>
      <c r="P139" s="867"/>
      <c r="Q139" s="867"/>
    </row>
    <row r="140" spans="1:17">
      <c r="A140" s="541"/>
      <c r="B140" s="535"/>
      <c r="C140" s="517"/>
      <c r="D140" s="517"/>
      <c r="E140" s="517"/>
      <c r="F140" s="517"/>
      <c r="G140" s="525"/>
      <c r="H140" s="525"/>
      <c r="I140" s="531"/>
      <c r="J140" s="543"/>
      <c r="K140" s="531"/>
      <c r="L140" s="867"/>
      <c r="M140" s="867"/>
      <c r="N140" s="867"/>
      <c r="O140" s="867"/>
      <c r="P140" s="867"/>
      <c r="Q140" s="867"/>
    </row>
    <row r="141" spans="1:17">
      <c r="A141" s="541"/>
      <c r="B141" s="535" t="s">
        <v>1846</v>
      </c>
      <c r="C141" s="517"/>
      <c r="D141" s="517"/>
      <c r="E141" s="517"/>
      <c r="F141" s="517"/>
      <c r="G141" s="525" t="s">
        <v>1687</v>
      </c>
      <c r="H141" s="525">
        <v>7</v>
      </c>
      <c r="I141" s="531"/>
      <c r="J141" s="543"/>
      <c r="K141" s="531">
        <v>163.79999999999998</v>
      </c>
      <c r="L141" s="867">
        <v>1.4</v>
      </c>
      <c r="M141" s="867">
        <v>117</v>
      </c>
      <c r="N141" s="867"/>
      <c r="O141" s="867"/>
      <c r="P141" s="867"/>
      <c r="Q141" s="867"/>
    </row>
    <row r="142" spans="1:17">
      <c r="A142" s="541"/>
      <c r="B142" s="535" t="s">
        <v>1847</v>
      </c>
      <c r="C142" s="517"/>
      <c r="D142" s="517"/>
      <c r="E142" s="517"/>
      <c r="F142" s="517"/>
      <c r="G142" s="525"/>
      <c r="H142" s="525"/>
      <c r="I142" s="531"/>
      <c r="J142" s="543"/>
      <c r="K142" s="531"/>
      <c r="L142" s="867"/>
      <c r="M142" s="867"/>
      <c r="N142" s="867"/>
      <c r="O142" s="867"/>
      <c r="P142" s="867"/>
      <c r="Q142" s="867"/>
    </row>
    <row r="143" spans="1:17">
      <c r="A143" s="541"/>
      <c r="B143" s="535" t="s">
        <v>1848</v>
      </c>
      <c r="C143" s="517"/>
      <c r="D143" s="517"/>
      <c r="E143" s="517"/>
      <c r="F143" s="517"/>
      <c r="G143" s="525"/>
      <c r="H143" s="525"/>
      <c r="I143" s="531"/>
      <c r="J143" s="543"/>
      <c r="K143" s="531"/>
      <c r="L143" s="867"/>
      <c r="M143" s="867"/>
      <c r="N143" s="867"/>
      <c r="O143" s="867"/>
      <c r="P143" s="867"/>
      <c r="Q143" s="867"/>
    </row>
    <row r="144" spans="1:17">
      <c r="A144" s="541"/>
      <c r="B144" s="535"/>
      <c r="C144" s="517"/>
      <c r="D144" s="517"/>
      <c r="E144" s="517"/>
      <c r="F144" s="517"/>
      <c r="G144" s="525"/>
      <c r="H144" s="525"/>
      <c r="I144" s="531"/>
      <c r="J144" s="543"/>
      <c r="K144" s="531"/>
      <c r="L144" s="867"/>
      <c r="M144" s="867"/>
      <c r="N144" s="867"/>
      <c r="O144" s="867"/>
      <c r="P144" s="867"/>
      <c r="Q144" s="867"/>
    </row>
    <row r="145" spans="1:17">
      <c r="A145" s="541"/>
      <c r="B145" s="535" t="s">
        <v>1849</v>
      </c>
      <c r="C145" s="517"/>
      <c r="D145" s="517"/>
      <c r="E145" s="517"/>
      <c r="F145" s="517"/>
      <c r="G145" s="525" t="s">
        <v>1687</v>
      </c>
      <c r="H145" s="525">
        <v>2</v>
      </c>
      <c r="I145" s="531"/>
      <c r="J145" s="543"/>
      <c r="K145" s="531">
        <v>182</v>
      </c>
      <c r="L145" s="867">
        <v>1.4</v>
      </c>
      <c r="M145" s="867">
        <v>130</v>
      </c>
      <c r="N145" s="867"/>
      <c r="O145" s="867"/>
      <c r="P145" s="867"/>
      <c r="Q145" s="867"/>
    </row>
    <row r="146" spans="1:17">
      <c r="A146" s="541"/>
      <c r="B146" s="535" t="s">
        <v>1850</v>
      </c>
      <c r="C146" s="517"/>
      <c r="D146" s="517"/>
      <c r="E146" s="517"/>
      <c r="F146" s="517"/>
      <c r="G146" s="525"/>
      <c r="H146" s="525"/>
      <c r="I146" s="531"/>
      <c r="J146" s="543"/>
      <c r="K146" s="531"/>
      <c r="L146" s="867"/>
      <c r="M146" s="867"/>
      <c r="N146" s="867"/>
      <c r="O146" s="867"/>
      <c r="P146" s="867"/>
      <c r="Q146" s="867"/>
    </row>
    <row r="147" spans="1:17">
      <c r="A147" s="541"/>
      <c r="B147" s="535" t="s">
        <v>1851</v>
      </c>
      <c r="C147" s="517"/>
      <c r="D147" s="517"/>
      <c r="E147" s="517"/>
      <c r="F147" s="517"/>
      <c r="G147" s="525"/>
      <c r="H147" s="525"/>
      <c r="I147" s="531"/>
      <c r="J147" s="543"/>
      <c r="K147" s="531"/>
      <c r="L147" s="867"/>
      <c r="M147" s="867"/>
      <c r="N147" s="867"/>
      <c r="O147" s="867"/>
      <c r="P147" s="867"/>
      <c r="Q147" s="867"/>
    </row>
    <row r="148" spans="1:17">
      <c r="A148" s="541"/>
      <c r="B148" s="535"/>
      <c r="C148" s="517"/>
      <c r="D148" s="517"/>
      <c r="E148" s="517"/>
      <c r="F148" s="517"/>
      <c r="G148" s="525"/>
      <c r="H148" s="525"/>
      <c r="I148" s="531"/>
      <c r="J148" s="543"/>
      <c r="K148" s="531"/>
      <c r="L148" s="867"/>
      <c r="M148" s="867"/>
      <c r="N148" s="867"/>
      <c r="O148" s="867"/>
      <c r="P148" s="867"/>
      <c r="Q148" s="867"/>
    </row>
    <row r="149" spans="1:17">
      <c r="A149" s="519"/>
      <c r="B149" s="535" t="s">
        <v>1852</v>
      </c>
      <c r="C149" s="524"/>
      <c r="D149" s="524"/>
      <c r="E149" s="524"/>
      <c r="F149" s="524"/>
      <c r="G149" s="554" t="s">
        <v>1687</v>
      </c>
      <c r="H149" s="554">
        <v>3</v>
      </c>
      <c r="I149" s="889"/>
      <c r="J149" s="543"/>
      <c r="K149" s="889">
        <v>138.6</v>
      </c>
      <c r="L149" s="890">
        <v>1.4</v>
      </c>
      <c r="M149" s="890">
        <v>99</v>
      </c>
      <c r="N149" s="890"/>
      <c r="O149" s="890"/>
      <c r="P149" s="890"/>
      <c r="Q149" s="890"/>
    </row>
    <row r="150" spans="1:17">
      <c r="A150" s="519"/>
      <c r="B150" s="535" t="s">
        <v>1853</v>
      </c>
      <c r="C150" s="517"/>
      <c r="D150" s="517"/>
      <c r="E150" s="517"/>
      <c r="F150" s="517"/>
      <c r="G150" s="554"/>
      <c r="H150" s="554"/>
      <c r="I150" s="889"/>
      <c r="J150" s="543"/>
      <c r="K150" s="889"/>
      <c r="L150" s="890"/>
      <c r="M150" s="890"/>
      <c r="N150" s="890"/>
      <c r="O150" s="890"/>
      <c r="P150" s="890"/>
      <c r="Q150" s="890"/>
    </row>
    <row r="151" spans="1:17">
      <c r="A151" s="519"/>
      <c r="B151" s="535" t="s">
        <v>1848</v>
      </c>
      <c r="C151" s="517"/>
      <c r="D151" s="517"/>
      <c r="E151" s="517"/>
      <c r="F151" s="517"/>
      <c r="G151" s="554"/>
      <c r="H151" s="554"/>
      <c r="I151" s="889"/>
      <c r="J151" s="543"/>
      <c r="K151" s="889"/>
      <c r="L151" s="890"/>
      <c r="M151" s="890"/>
      <c r="N151" s="890"/>
      <c r="O151" s="890"/>
      <c r="P151" s="890"/>
      <c r="Q151" s="890"/>
    </row>
    <row r="152" spans="1:17">
      <c r="A152" s="541"/>
      <c r="B152" s="517"/>
      <c r="C152" s="517"/>
      <c r="D152" s="517"/>
      <c r="E152" s="517"/>
      <c r="F152" s="517"/>
      <c r="G152" s="525"/>
      <c r="H152" s="525"/>
      <c r="I152" s="531"/>
      <c r="J152" s="543"/>
      <c r="K152" s="531"/>
      <c r="L152" s="867"/>
      <c r="M152" s="867"/>
      <c r="N152" s="867"/>
      <c r="O152" s="867"/>
      <c r="P152" s="867"/>
      <c r="Q152" s="867"/>
    </row>
    <row r="153" spans="1:17">
      <c r="A153" s="541" t="s">
        <v>3</v>
      </c>
      <c r="B153" s="517" t="s">
        <v>632</v>
      </c>
      <c r="C153" s="517"/>
      <c r="D153" s="517"/>
      <c r="E153" s="517"/>
      <c r="F153" s="517"/>
      <c r="G153" s="525"/>
      <c r="H153" s="525"/>
      <c r="I153" s="531"/>
      <c r="J153" s="543"/>
      <c r="K153" s="531"/>
      <c r="L153" s="867"/>
      <c r="M153" s="867"/>
      <c r="N153" s="867"/>
      <c r="O153" s="867"/>
      <c r="P153" s="867"/>
      <c r="Q153" s="867"/>
    </row>
    <row r="154" spans="1:17">
      <c r="A154" s="541"/>
      <c r="B154" s="534" t="s">
        <v>633</v>
      </c>
      <c r="C154" s="517"/>
      <c r="D154" s="517"/>
      <c r="E154" s="517"/>
      <c r="F154" s="517"/>
      <c r="G154" s="525"/>
      <c r="H154" s="525"/>
      <c r="I154" s="531"/>
      <c r="J154" s="543"/>
      <c r="K154" s="531"/>
      <c r="L154" s="867"/>
      <c r="M154" s="867"/>
      <c r="N154" s="867"/>
      <c r="O154" s="867"/>
      <c r="P154" s="867"/>
      <c r="Q154" s="867"/>
    </row>
    <row r="155" spans="1:17">
      <c r="A155" s="541"/>
      <c r="B155" s="517" t="s">
        <v>359</v>
      </c>
      <c r="C155" s="517"/>
      <c r="D155" s="517"/>
      <c r="E155" s="517"/>
      <c r="F155" s="517"/>
      <c r="G155" s="525" t="s">
        <v>1566</v>
      </c>
      <c r="H155" s="525">
        <v>260</v>
      </c>
      <c r="I155" s="531"/>
      <c r="J155" s="543"/>
      <c r="K155" s="531"/>
      <c r="L155" s="867">
        <v>3</v>
      </c>
      <c r="M155" s="867"/>
      <c r="N155" s="867"/>
      <c r="O155" s="867"/>
      <c r="P155" s="867"/>
      <c r="Q155" s="867"/>
    </row>
    <row r="156" spans="1:17">
      <c r="A156" s="523"/>
      <c r="B156" s="529" t="s">
        <v>360</v>
      </c>
      <c r="C156" s="529"/>
      <c r="D156" s="529"/>
      <c r="E156" s="529"/>
      <c r="F156" s="529"/>
      <c r="G156" s="528" t="s">
        <v>1566</v>
      </c>
      <c r="H156" s="528">
        <v>150</v>
      </c>
      <c r="I156" s="553"/>
      <c r="J156" s="545"/>
      <c r="K156" s="531"/>
      <c r="L156" s="867">
        <v>3</v>
      </c>
      <c r="M156" s="867"/>
      <c r="N156" s="867"/>
      <c r="O156" s="867"/>
      <c r="P156" s="867"/>
      <c r="Q156" s="867"/>
    </row>
    <row r="157" spans="1:17">
      <c r="A157" s="541"/>
      <c r="B157" s="517"/>
      <c r="C157" s="517"/>
      <c r="D157" s="517"/>
      <c r="E157" s="517"/>
      <c r="F157" s="517"/>
      <c r="G157" s="525"/>
      <c r="H157" s="525"/>
      <c r="I157" s="531"/>
      <c r="J157" s="543"/>
      <c r="K157" s="531"/>
      <c r="L157" s="867"/>
      <c r="M157" s="867"/>
      <c r="N157" s="867"/>
      <c r="O157" s="867"/>
      <c r="P157" s="867"/>
      <c r="Q157" s="867"/>
    </row>
    <row r="158" spans="1:17">
      <c r="A158" s="541" t="s">
        <v>4</v>
      </c>
      <c r="B158" s="517" t="s">
        <v>1706</v>
      </c>
      <c r="C158" s="517"/>
      <c r="D158" s="517"/>
      <c r="E158" s="517"/>
      <c r="F158" s="517"/>
      <c r="G158" s="525"/>
      <c r="H158" s="525"/>
      <c r="I158" s="531"/>
      <c r="J158" s="543"/>
      <c r="K158" s="531"/>
      <c r="L158" s="867"/>
      <c r="M158" s="867"/>
      <c r="N158" s="867"/>
      <c r="O158" s="867"/>
      <c r="P158" s="867"/>
      <c r="Q158" s="867"/>
    </row>
    <row r="159" spans="1:17">
      <c r="A159" s="541"/>
      <c r="B159" s="517" t="s">
        <v>1707</v>
      </c>
      <c r="C159" s="517"/>
      <c r="D159" s="517"/>
      <c r="E159" s="517"/>
      <c r="F159" s="517"/>
      <c r="G159" s="525"/>
      <c r="H159" s="525"/>
      <c r="I159" s="531"/>
      <c r="J159" s="543"/>
      <c r="K159" s="531"/>
      <c r="L159" s="867"/>
      <c r="M159" s="867"/>
      <c r="N159" s="867"/>
      <c r="O159" s="867"/>
      <c r="P159" s="867"/>
      <c r="Q159" s="867"/>
    </row>
    <row r="160" spans="1:17">
      <c r="A160" s="541"/>
      <c r="B160" s="517" t="s">
        <v>634</v>
      </c>
      <c r="C160" s="517"/>
      <c r="D160" s="517"/>
      <c r="E160" s="517"/>
      <c r="F160" s="517"/>
      <c r="G160" s="525"/>
      <c r="H160" s="525"/>
      <c r="I160" s="531"/>
      <c r="J160" s="543"/>
      <c r="K160" s="531"/>
      <c r="L160" s="867"/>
      <c r="M160" s="867"/>
      <c r="N160" s="867"/>
      <c r="O160" s="867"/>
      <c r="P160" s="867"/>
      <c r="Q160" s="867"/>
    </row>
    <row r="161" spans="1:17">
      <c r="A161" s="523"/>
      <c r="B161" s="529"/>
      <c r="C161" s="529"/>
      <c r="D161" s="529"/>
      <c r="E161" s="529"/>
      <c r="F161" s="529"/>
      <c r="G161" s="528"/>
      <c r="H161" s="888">
        <v>0.4</v>
      </c>
      <c r="I161" s="553"/>
      <c r="J161" s="545"/>
      <c r="K161" s="553"/>
      <c r="L161" s="891"/>
      <c r="M161" s="891"/>
      <c r="N161" s="891"/>
      <c r="O161" s="891"/>
      <c r="P161" s="891"/>
      <c r="Q161" s="891"/>
    </row>
    <row r="162" spans="1:17">
      <c r="A162" s="541"/>
      <c r="B162" s="517"/>
      <c r="C162" s="517"/>
      <c r="D162" s="517"/>
      <c r="E162" s="517"/>
      <c r="F162" s="517"/>
      <c r="G162" s="525"/>
      <c r="H162" s="892"/>
      <c r="I162" s="531"/>
      <c r="J162" s="543"/>
      <c r="K162" s="531"/>
      <c r="L162" s="867"/>
      <c r="M162" s="867"/>
      <c r="N162" s="867"/>
      <c r="O162" s="867"/>
      <c r="P162" s="867"/>
      <c r="Q162" s="867"/>
    </row>
    <row r="163" spans="1:17">
      <c r="A163" s="541" t="s">
        <v>5</v>
      </c>
      <c r="B163" s="517" t="s">
        <v>635</v>
      </c>
      <c r="C163" s="517"/>
      <c r="D163" s="517"/>
      <c r="E163" s="517"/>
      <c r="F163" s="517"/>
      <c r="G163" s="525"/>
      <c r="H163" s="525"/>
      <c r="I163" s="531"/>
      <c r="J163" s="543"/>
      <c r="K163" s="531"/>
      <c r="L163" s="867"/>
      <c r="M163" s="867"/>
      <c r="N163" s="867"/>
      <c r="O163" s="867"/>
      <c r="P163" s="867"/>
      <c r="Q163" s="867"/>
    </row>
    <row r="164" spans="1:17">
      <c r="A164" s="541"/>
      <c r="B164" s="517" t="s">
        <v>636</v>
      </c>
      <c r="C164" s="517"/>
      <c r="D164" s="517"/>
      <c r="E164" s="517"/>
      <c r="F164" s="517"/>
      <c r="G164" s="525"/>
      <c r="H164" s="525"/>
      <c r="I164" s="531"/>
      <c r="J164" s="543"/>
      <c r="K164" s="531"/>
      <c r="L164" s="867"/>
      <c r="M164" s="867"/>
      <c r="N164" s="867"/>
      <c r="O164" s="867"/>
      <c r="P164" s="867"/>
      <c r="Q164" s="867"/>
    </row>
    <row r="165" spans="1:17">
      <c r="A165" s="541"/>
      <c r="B165" s="517" t="s">
        <v>637</v>
      </c>
      <c r="C165" s="517"/>
      <c r="D165" s="517"/>
      <c r="E165" s="517"/>
      <c r="F165" s="517"/>
      <c r="G165" s="525"/>
      <c r="H165" s="525"/>
      <c r="I165" s="531"/>
      <c r="J165" s="543"/>
      <c r="K165" s="531"/>
      <c r="L165" s="867"/>
      <c r="M165" s="867"/>
      <c r="N165" s="867"/>
      <c r="O165" s="867"/>
      <c r="P165" s="867"/>
      <c r="Q165" s="867"/>
    </row>
    <row r="166" spans="1:17">
      <c r="A166" s="541"/>
      <c r="B166" s="517" t="s">
        <v>638</v>
      </c>
      <c r="C166" s="517"/>
      <c r="D166" s="517"/>
      <c r="E166" s="517"/>
      <c r="F166" s="517"/>
      <c r="G166" s="525"/>
      <c r="H166" s="525"/>
      <c r="I166" s="531"/>
      <c r="J166" s="543"/>
      <c r="K166" s="531"/>
      <c r="L166" s="867"/>
      <c r="M166" s="867"/>
      <c r="N166" s="867"/>
      <c r="O166" s="867"/>
      <c r="P166" s="867"/>
      <c r="Q166" s="867"/>
    </row>
    <row r="167" spans="1:17">
      <c r="A167" s="541"/>
      <c r="B167" s="517" t="s">
        <v>639</v>
      </c>
      <c r="C167" s="517"/>
      <c r="D167" s="517"/>
      <c r="E167" s="517"/>
      <c r="F167" s="517"/>
      <c r="G167" s="525"/>
      <c r="H167" s="525"/>
      <c r="I167" s="531"/>
      <c r="J167" s="543"/>
      <c r="K167" s="531"/>
      <c r="L167" s="867"/>
      <c r="M167" s="867"/>
      <c r="N167" s="867"/>
      <c r="O167" s="867"/>
      <c r="P167" s="867"/>
      <c r="Q167" s="867"/>
    </row>
    <row r="168" spans="1:17">
      <c r="A168" s="541"/>
      <c r="B168" s="517"/>
      <c r="C168" s="517" t="s">
        <v>1685</v>
      </c>
      <c r="D168" s="517"/>
      <c r="E168" s="517"/>
      <c r="F168" s="517"/>
      <c r="G168" s="525"/>
      <c r="H168" s="525"/>
      <c r="I168" s="531"/>
      <c r="J168" s="542"/>
      <c r="K168" s="531"/>
      <c r="L168" s="867"/>
      <c r="M168" s="867"/>
      <c r="N168" s="867"/>
      <c r="O168" s="867"/>
      <c r="P168" s="867">
        <v>35</v>
      </c>
      <c r="Q168" s="867">
        <v>105</v>
      </c>
    </row>
    <row r="169" spans="1:17">
      <c r="A169" s="541"/>
      <c r="B169" s="517"/>
      <c r="C169" s="517" t="s">
        <v>352</v>
      </c>
      <c r="D169" s="517"/>
      <c r="E169" s="517"/>
      <c r="F169" s="517"/>
      <c r="G169" s="525" t="s">
        <v>1566</v>
      </c>
      <c r="H169" s="525">
        <v>450</v>
      </c>
      <c r="I169" s="531"/>
      <c r="J169" s="543"/>
      <c r="K169" s="531"/>
      <c r="L169" s="884">
        <v>0.12970999999999999</v>
      </c>
      <c r="M169" s="884">
        <v>0.11899999999999999</v>
      </c>
      <c r="N169" s="867"/>
      <c r="O169" s="867"/>
      <c r="P169" s="867">
        <v>55</v>
      </c>
      <c r="Q169" s="867">
        <v>165</v>
      </c>
    </row>
    <row r="170" spans="1:17">
      <c r="A170" s="541"/>
      <c r="B170" s="517"/>
      <c r="C170" s="517" t="s">
        <v>353</v>
      </c>
      <c r="D170" s="517"/>
      <c r="E170" s="517"/>
      <c r="F170" s="517"/>
      <c r="G170" s="525" t="s">
        <v>1566</v>
      </c>
      <c r="H170" s="525">
        <v>80</v>
      </c>
      <c r="I170" s="531"/>
      <c r="J170" s="543"/>
      <c r="K170" s="531"/>
      <c r="L170" s="884">
        <v>0.21473000000000003</v>
      </c>
      <c r="M170" s="884">
        <v>0.19700000000000001</v>
      </c>
      <c r="N170" s="867"/>
      <c r="O170" s="867"/>
      <c r="P170" s="867">
        <v>66</v>
      </c>
      <c r="Q170" s="867">
        <v>198</v>
      </c>
    </row>
    <row r="171" spans="1:17">
      <c r="A171" s="541"/>
      <c r="B171" s="517"/>
      <c r="C171" s="517" t="s">
        <v>354</v>
      </c>
      <c r="D171" s="517"/>
      <c r="E171" s="517"/>
      <c r="F171" s="517"/>
      <c r="G171" s="525" t="s">
        <v>1566</v>
      </c>
      <c r="H171" s="525">
        <v>20</v>
      </c>
      <c r="I171" s="531"/>
      <c r="J171" s="543"/>
      <c r="K171" s="531"/>
      <c r="L171" s="884">
        <v>0.29321000000000003</v>
      </c>
      <c r="M171" s="884">
        <v>0.26900000000000002</v>
      </c>
      <c r="N171" s="867"/>
      <c r="O171" s="867"/>
      <c r="P171" s="867">
        <v>85</v>
      </c>
      <c r="Q171" s="867">
        <v>255</v>
      </c>
    </row>
    <row r="172" spans="1:17">
      <c r="A172" s="541"/>
      <c r="B172" s="517"/>
      <c r="C172" s="517" t="s">
        <v>355</v>
      </c>
      <c r="D172" s="517"/>
      <c r="E172" s="517"/>
      <c r="F172" s="517"/>
      <c r="G172" s="525" t="s">
        <v>1566</v>
      </c>
      <c r="H172" s="525">
        <v>30</v>
      </c>
      <c r="I172" s="531"/>
      <c r="J172" s="543"/>
      <c r="K172" s="531"/>
      <c r="L172" s="884">
        <v>0.39894000000000002</v>
      </c>
      <c r="M172" s="884">
        <v>0.36599999999999999</v>
      </c>
      <c r="N172" s="867"/>
      <c r="O172" s="867"/>
      <c r="P172" s="867">
        <v>101</v>
      </c>
      <c r="Q172" s="867">
        <v>303</v>
      </c>
    </row>
    <row r="173" spans="1:17">
      <c r="A173" s="541"/>
      <c r="B173" s="517"/>
      <c r="C173" s="517" t="s">
        <v>1686</v>
      </c>
      <c r="D173" s="517"/>
      <c r="E173" s="517"/>
      <c r="F173" s="517"/>
      <c r="G173" s="525"/>
      <c r="H173" s="525"/>
      <c r="I173" s="533"/>
      <c r="J173" s="543"/>
      <c r="K173" s="531"/>
      <c r="L173" s="884"/>
      <c r="M173" s="884"/>
      <c r="N173" s="867"/>
      <c r="O173" s="867"/>
      <c r="P173" s="867">
        <v>160</v>
      </c>
      <c r="Q173" s="867">
        <v>480</v>
      </c>
    </row>
    <row r="174" spans="1:17">
      <c r="A174" s="541"/>
      <c r="B174" s="517"/>
      <c r="C174" s="517" t="s">
        <v>354</v>
      </c>
      <c r="D174" s="517"/>
      <c r="E174" s="517"/>
      <c r="F174" s="517"/>
      <c r="G174" s="525" t="s">
        <v>1566</v>
      </c>
      <c r="H174" s="525">
        <v>450</v>
      </c>
      <c r="I174" s="533"/>
      <c r="J174" s="543"/>
      <c r="K174" s="531"/>
      <c r="L174" s="884">
        <v>0.29321000000000003</v>
      </c>
      <c r="M174" s="884">
        <v>0.26900000000000002</v>
      </c>
      <c r="N174" s="867"/>
      <c r="O174" s="867"/>
      <c r="P174" s="867">
        <v>201</v>
      </c>
      <c r="Q174" s="867">
        <v>603</v>
      </c>
    </row>
    <row r="175" spans="1:17">
      <c r="A175" s="541"/>
      <c r="B175" s="517"/>
      <c r="C175" s="517" t="s">
        <v>355</v>
      </c>
      <c r="D175" s="517"/>
      <c r="E175" s="517"/>
      <c r="F175" s="517"/>
      <c r="G175" s="525" t="s">
        <v>1566</v>
      </c>
      <c r="H175" s="525">
        <v>30</v>
      </c>
      <c r="I175" s="533"/>
      <c r="J175" s="543"/>
      <c r="K175" s="531"/>
      <c r="L175" s="884">
        <v>0.39894000000000002</v>
      </c>
      <c r="M175" s="884">
        <v>0.36599999999999999</v>
      </c>
      <c r="N175" s="867"/>
      <c r="O175" s="867"/>
      <c r="P175" s="867"/>
      <c r="Q175" s="867"/>
    </row>
    <row r="176" spans="1:17">
      <c r="A176" s="541"/>
      <c r="B176" s="517"/>
      <c r="C176" s="517" t="s">
        <v>356</v>
      </c>
      <c r="D176" s="517"/>
      <c r="E176" s="517"/>
      <c r="F176" s="517"/>
      <c r="G176" s="525" t="s">
        <v>1566</v>
      </c>
      <c r="H176" s="525">
        <v>30</v>
      </c>
      <c r="I176" s="533"/>
      <c r="J176" s="543"/>
      <c r="K176" s="531"/>
      <c r="L176" s="884">
        <v>0.49268000000000006</v>
      </c>
      <c r="M176" s="884">
        <v>0.45200000000000001</v>
      </c>
      <c r="N176" s="867"/>
      <c r="O176" s="867"/>
      <c r="P176" s="867"/>
      <c r="Q176" s="867"/>
    </row>
    <row r="177" spans="1:17">
      <c r="A177" s="541"/>
      <c r="B177" s="517"/>
      <c r="C177" s="517" t="s">
        <v>357</v>
      </c>
      <c r="D177" s="517"/>
      <c r="E177" s="517"/>
      <c r="F177" s="517"/>
      <c r="G177" s="525" t="s">
        <v>1566</v>
      </c>
      <c r="H177" s="525">
        <v>25</v>
      </c>
      <c r="I177" s="533"/>
      <c r="J177" s="543"/>
      <c r="K177" s="531"/>
      <c r="L177" s="884">
        <v>0.73248000000000013</v>
      </c>
      <c r="M177" s="884">
        <v>0.67200000000000004</v>
      </c>
      <c r="N177" s="867"/>
      <c r="O177" s="867"/>
      <c r="P177" s="867"/>
      <c r="Q177" s="867"/>
    </row>
    <row r="178" spans="1:17" ht="16.5" thickBot="1">
      <c r="A178" s="541"/>
      <c r="B178" s="517"/>
      <c r="C178" s="517" t="s">
        <v>358</v>
      </c>
      <c r="D178" s="517"/>
      <c r="E178" s="517"/>
      <c r="F178" s="517"/>
      <c r="G178" s="530" t="s">
        <v>1566</v>
      </c>
      <c r="H178" s="530">
        <v>55</v>
      </c>
      <c r="I178" s="536"/>
      <c r="J178" s="546"/>
      <c r="K178" s="531"/>
      <c r="L178" s="884">
        <v>1.2644</v>
      </c>
      <c r="M178" s="884">
        <v>1.1599999999999999</v>
      </c>
      <c r="N178" s="867"/>
      <c r="O178" s="867"/>
      <c r="P178" s="867"/>
      <c r="Q178" s="867"/>
    </row>
    <row r="179" spans="1:17" ht="16.5" thickTop="1">
      <c r="A179" s="523"/>
      <c r="B179" s="529"/>
      <c r="C179" s="529"/>
      <c r="D179" s="529"/>
      <c r="E179" s="529"/>
      <c r="F179" s="529"/>
      <c r="G179" s="528"/>
      <c r="H179" s="528"/>
      <c r="I179" s="553"/>
      <c r="J179" s="887"/>
      <c r="K179" s="531"/>
      <c r="L179" s="867"/>
      <c r="M179" s="867"/>
      <c r="N179" s="867"/>
      <c r="O179" s="867"/>
      <c r="P179" s="867"/>
      <c r="Q179" s="867"/>
    </row>
    <row r="180" spans="1:17">
      <c r="A180" s="541"/>
      <c r="B180" s="517"/>
      <c r="C180" s="517"/>
      <c r="D180" s="517"/>
      <c r="E180" s="517"/>
      <c r="F180" s="517"/>
      <c r="G180" s="525"/>
      <c r="H180" s="525"/>
      <c r="I180" s="531"/>
      <c r="J180" s="543"/>
      <c r="K180" s="531"/>
      <c r="L180" s="884"/>
      <c r="M180" s="867"/>
      <c r="N180" s="867"/>
      <c r="O180" s="867"/>
      <c r="P180" s="867"/>
      <c r="Q180" s="867"/>
    </row>
    <row r="181" spans="1:17">
      <c r="A181" s="541" t="s">
        <v>6</v>
      </c>
      <c r="B181" s="534" t="s">
        <v>640</v>
      </c>
      <c r="C181" s="517"/>
      <c r="D181" s="517"/>
      <c r="E181" s="517"/>
      <c r="F181" s="517"/>
      <c r="G181" s="525"/>
      <c r="H181" s="525"/>
      <c r="I181" s="531"/>
      <c r="J181" s="543"/>
      <c r="K181" s="531"/>
      <c r="L181" s="867"/>
      <c r="M181" s="867"/>
      <c r="N181" s="867"/>
      <c r="O181" s="867"/>
      <c r="P181" s="867"/>
      <c r="Q181" s="867"/>
    </row>
    <row r="182" spans="1:17">
      <c r="A182" s="541"/>
      <c r="B182" s="534" t="s">
        <v>641</v>
      </c>
      <c r="C182" s="517"/>
      <c r="D182" s="517"/>
      <c r="E182" s="517"/>
      <c r="F182" s="517"/>
      <c r="G182" s="525"/>
      <c r="H182" s="525"/>
      <c r="I182" s="531"/>
      <c r="J182" s="543"/>
      <c r="K182" s="531"/>
      <c r="L182" s="867"/>
      <c r="M182" s="867"/>
      <c r="N182" s="867"/>
      <c r="O182" s="867"/>
      <c r="P182" s="867"/>
      <c r="Q182" s="867"/>
    </row>
    <row r="183" spans="1:17" ht="16.5" thickBot="1">
      <c r="A183" s="893"/>
      <c r="B183" s="894"/>
      <c r="C183" s="895"/>
      <c r="D183" s="895"/>
      <c r="E183" s="895"/>
      <c r="F183" s="895"/>
      <c r="G183" s="530" t="s">
        <v>1688</v>
      </c>
      <c r="H183" s="896">
        <v>35</v>
      </c>
      <c r="I183" s="885"/>
      <c r="J183" s="546"/>
      <c r="K183" s="531"/>
      <c r="L183" s="867">
        <v>5</v>
      </c>
      <c r="M183" s="867"/>
      <c r="N183" s="867"/>
      <c r="O183" s="867"/>
      <c r="P183" s="867"/>
      <c r="Q183" s="867"/>
    </row>
    <row r="184" spans="1:17" ht="17.25" thickTop="1" thickBot="1">
      <c r="A184" s="547"/>
      <c r="B184" s="880"/>
      <c r="C184" s="514"/>
      <c r="D184" s="514"/>
      <c r="E184" s="514"/>
      <c r="F184" s="514"/>
      <c r="G184" s="548"/>
      <c r="H184" s="897" t="s">
        <v>1689</v>
      </c>
      <c r="I184" s="550"/>
      <c r="J184" s="911"/>
      <c r="K184" s="515"/>
      <c r="L184" s="514"/>
      <c r="M184" s="514"/>
      <c r="N184" s="515"/>
      <c r="O184" s="515"/>
      <c r="P184" s="514"/>
      <c r="Q184" s="514"/>
    </row>
    <row r="185" spans="1:17" ht="16.5" thickTop="1">
      <c r="A185" s="547"/>
      <c r="B185" s="880"/>
      <c r="C185" s="514"/>
      <c r="D185" s="514"/>
      <c r="E185" s="514"/>
      <c r="F185" s="514"/>
      <c r="G185" s="577"/>
      <c r="H185" s="577"/>
      <c r="I185" s="515"/>
      <c r="J185" s="538"/>
      <c r="K185" s="515"/>
      <c r="L185" s="514"/>
      <c r="M185" s="514"/>
      <c r="N185" s="515"/>
      <c r="O185" s="515"/>
      <c r="P185" s="514"/>
    </row>
    <row r="186" spans="1:17" ht="17.25">
      <c r="A186" s="537" t="s">
        <v>1392</v>
      </c>
      <c r="B186" s="514"/>
      <c r="C186" s="514"/>
      <c r="D186" s="514"/>
      <c r="E186" s="514"/>
      <c r="F186" s="514"/>
      <c r="G186" s="577"/>
      <c r="H186" s="577"/>
      <c r="I186" s="515"/>
      <c r="J186" s="538"/>
      <c r="K186" s="515"/>
      <c r="L186" s="514"/>
      <c r="M186" s="514"/>
      <c r="N186" s="515"/>
      <c r="O186" s="515"/>
      <c r="P186" s="514"/>
    </row>
    <row r="187" spans="1:17">
      <c r="A187" s="539"/>
      <c r="B187" s="517"/>
      <c r="C187" s="517"/>
      <c r="D187" s="517"/>
      <c r="E187" s="517"/>
      <c r="F187" s="517"/>
      <c r="G187" s="525"/>
      <c r="H187" s="525"/>
      <c r="I187" s="531"/>
      <c r="J187" s="540"/>
      <c r="K187" s="531"/>
      <c r="L187" s="517"/>
      <c r="M187" s="517"/>
      <c r="N187" s="531"/>
      <c r="O187" s="531"/>
      <c r="P187" s="517"/>
      <c r="Q187" s="517"/>
    </row>
    <row r="188" spans="1:17">
      <c r="A188" s="541" t="s">
        <v>0</v>
      </c>
      <c r="B188" s="517" t="s">
        <v>1708</v>
      </c>
      <c r="C188" s="517"/>
      <c r="D188" s="517"/>
      <c r="E188" s="517"/>
      <c r="F188" s="517"/>
      <c r="G188" s="525"/>
      <c r="H188" s="525"/>
      <c r="I188" s="531"/>
      <c r="J188" s="540"/>
      <c r="K188" s="531"/>
      <c r="L188" s="867"/>
      <c r="M188" s="867"/>
      <c r="N188" s="867"/>
      <c r="O188" s="867"/>
      <c r="P188" s="867"/>
      <c r="Q188" s="867"/>
    </row>
    <row r="189" spans="1:17">
      <c r="A189" s="539"/>
      <c r="B189" s="517" t="s">
        <v>1709</v>
      </c>
      <c r="C189" s="517"/>
      <c r="D189" s="517"/>
      <c r="E189" s="517"/>
      <c r="F189" s="517"/>
      <c r="G189" s="525"/>
      <c r="H189" s="517"/>
      <c r="I189" s="531"/>
      <c r="J189" s="542"/>
      <c r="K189" s="531"/>
      <c r="L189" s="867"/>
      <c r="M189" s="867"/>
      <c r="N189" s="867"/>
      <c r="O189" s="867"/>
      <c r="P189" s="867"/>
      <c r="Q189" s="867"/>
    </row>
    <row r="190" spans="1:17">
      <c r="A190" s="539"/>
      <c r="B190" s="534" t="s">
        <v>1710</v>
      </c>
      <c r="C190" s="517"/>
      <c r="D190" s="517"/>
      <c r="E190" s="517"/>
      <c r="F190" s="517"/>
      <c r="G190" s="525"/>
      <c r="H190" s="517"/>
      <c r="I190" s="531"/>
      <c r="J190" s="542"/>
      <c r="K190" s="531"/>
      <c r="L190" s="867"/>
      <c r="M190" s="867"/>
      <c r="N190" s="867"/>
      <c r="O190" s="867"/>
      <c r="P190" s="867"/>
      <c r="Q190" s="867"/>
    </row>
    <row r="191" spans="1:17">
      <c r="A191" s="539"/>
      <c r="B191" s="534" t="s">
        <v>1700</v>
      </c>
      <c r="C191" s="517"/>
      <c r="D191" s="517"/>
      <c r="E191" s="517"/>
      <c r="F191" s="517"/>
      <c r="G191" s="525"/>
      <c r="H191" s="517"/>
      <c r="I191" s="531"/>
      <c r="J191" s="542"/>
      <c r="K191" s="531"/>
      <c r="L191" s="867"/>
      <c r="M191" s="867"/>
      <c r="N191" s="867"/>
      <c r="O191" s="867"/>
      <c r="P191" s="867"/>
      <c r="Q191" s="867"/>
    </row>
    <row r="192" spans="1:17">
      <c r="A192" s="539"/>
      <c r="B192" s="521" t="s">
        <v>1801</v>
      </c>
      <c r="C192" s="517"/>
      <c r="D192" s="517"/>
      <c r="E192" s="517"/>
      <c r="F192" s="517"/>
      <c r="G192" s="525"/>
      <c r="H192" s="517"/>
      <c r="I192" s="531"/>
      <c r="J192" s="542"/>
      <c r="K192" s="531"/>
      <c r="L192" s="867"/>
      <c r="M192" s="867"/>
      <c r="N192" s="867"/>
      <c r="O192" s="867"/>
      <c r="P192" s="867"/>
      <c r="Q192" s="867"/>
    </row>
    <row r="193" spans="1:17">
      <c r="A193" s="539"/>
      <c r="B193" s="521"/>
      <c r="C193" s="517"/>
      <c r="D193" s="517"/>
      <c r="E193" s="517"/>
      <c r="F193" s="517"/>
      <c r="G193" s="525"/>
      <c r="H193" s="517"/>
      <c r="I193" s="531"/>
      <c r="J193" s="542"/>
      <c r="K193" s="531"/>
      <c r="L193" s="867"/>
      <c r="M193" s="867"/>
      <c r="N193" s="867"/>
      <c r="O193" s="867"/>
      <c r="P193" s="867"/>
      <c r="Q193" s="867"/>
    </row>
    <row r="194" spans="1:17">
      <c r="A194" s="539"/>
      <c r="B194" s="517" t="s">
        <v>1690</v>
      </c>
      <c r="C194" s="517"/>
      <c r="D194" s="517"/>
      <c r="E194" s="517"/>
      <c r="F194" s="517"/>
      <c r="G194" s="525"/>
      <c r="H194" s="525"/>
      <c r="I194" s="531"/>
      <c r="J194" s="542"/>
      <c r="K194" s="531"/>
      <c r="L194" s="867"/>
      <c r="M194" s="867"/>
      <c r="N194" s="867"/>
      <c r="O194" s="867"/>
      <c r="P194" s="867"/>
      <c r="Q194" s="867"/>
    </row>
    <row r="195" spans="1:17">
      <c r="A195" s="541"/>
      <c r="B195" s="521" t="s">
        <v>1854</v>
      </c>
      <c r="C195" s="518"/>
      <c r="D195" s="517"/>
      <c r="E195" s="517"/>
      <c r="F195" s="517"/>
      <c r="G195" s="525"/>
      <c r="H195" s="519"/>
      <c r="I195" s="869"/>
      <c r="J195" s="870"/>
      <c r="K195" s="520"/>
      <c r="L195" s="867"/>
      <c r="M195" s="867"/>
      <c r="N195" s="871"/>
      <c r="O195" s="871"/>
      <c r="P195" s="867"/>
      <c r="Q195" s="517"/>
    </row>
    <row r="196" spans="1:17">
      <c r="A196" s="541"/>
      <c r="B196" s="521" t="s">
        <v>1803</v>
      </c>
      <c r="C196" s="518"/>
      <c r="D196" s="517"/>
      <c r="E196" s="517"/>
      <c r="F196" s="517"/>
      <c r="G196" s="525"/>
      <c r="H196" s="519"/>
      <c r="I196" s="869"/>
      <c r="J196" s="870"/>
      <c r="K196" s="520"/>
      <c r="L196" s="867"/>
      <c r="M196" s="867"/>
      <c r="N196" s="871"/>
      <c r="O196" s="871"/>
      <c r="P196" s="867"/>
      <c r="Q196" s="517"/>
    </row>
    <row r="197" spans="1:17">
      <c r="A197" s="541"/>
      <c r="B197" s="517" t="s">
        <v>1944</v>
      </c>
      <c r="C197" s="518"/>
      <c r="D197" s="517"/>
      <c r="E197" s="517"/>
      <c r="F197" s="517"/>
      <c r="G197" s="525"/>
      <c r="H197" s="519"/>
      <c r="I197" s="869"/>
      <c r="J197" s="870"/>
      <c r="K197" s="520"/>
      <c r="L197" s="867"/>
      <c r="M197" s="867"/>
      <c r="N197" s="871"/>
      <c r="O197" s="871"/>
      <c r="P197" s="867"/>
      <c r="Q197" s="517"/>
    </row>
    <row r="198" spans="1:17">
      <c r="A198" s="541"/>
      <c r="B198" s="521" t="s">
        <v>1855</v>
      </c>
      <c r="C198" s="518"/>
      <c r="D198" s="517"/>
      <c r="E198" s="517"/>
      <c r="F198" s="517"/>
      <c r="G198" s="525"/>
      <c r="H198" s="519"/>
      <c r="I198" s="869"/>
      <c r="J198" s="870"/>
      <c r="K198" s="520"/>
      <c r="L198" s="867"/>
      <c r="M198" s="867"/>
      <c r="N198" s="871"/>
      <c r="O198" s="871"/>
      <c r="P198" s="867"/>
      <c r="Q198" s="517"/>
    </row>
    <row r="199" spans="1:17">
      <c r="A199" s="541"/>
      <c r="B199" s="521" t="s">
        <v>1856</v>
      </c>
      <c r="C199" s="518"/>
      <c r="D199" s="517"/>
      <c r="E199" s="517"/>
      <c r="F199" s="517"/>
      <c r="G199" s="525"/>
      <c r="H199" s="519"/>
      <c r="I199" s="869"/>
      <c r="J199" s="870"/>
      <c r="K199" s="520"/>
      <c r="L199" s="867"/>
      <c r="M199" s="867"/>
      <c r="N199" s="871"/>
      <c r="O199" s="871"/>
      <c r="P199" s="867"/>
      <c r="Q199" s="517"/>
    </row>
    <row r="200" spans="1:17">
      <c r="A200" s="541"/>
      <c r="B200" s="521" t="s">
        <v>1857</v>
      </c>
      <c r="C200" s="518"/>
      <c r="D200" s="517"/>
      <c r="E200" s="517"/>
      <c r="F200" s="517"/>
      <c r="G200" s="525"/>
      <c r="H200" s="519"/>
      <c r="I200" s="869"/>
      <c r="J200" s="870"/>
      <c r="K200" s="520"/>
      <c r="L200" s="867"/>
      <c r="M200" s="867"/>
      <c r="N200" s="871"/>
      <c r="O200" s="871"/>
      <c r="P200" s="867"/>
      <c r="Q200" s="517"/>
    </row>
    <row r="201" spans="1:17">
      <c r="A201" s="541"/>
      <c r="B201" s="517" t="s">
        <v>1858</v>
      </c>
      <c r="C201" s="518"/>
      <c r="D201" s="517"/>
      <c r="E201" s="517"/>
      <c r="F201" s="517"/>
      <c r="G201" s="525"/>
      <c r="H201" s="519"/>
      <c r="I201" s="869"/>
      <c r="J201" s="870"/>
      <c r="K201" s="520"/>
      <c r="L201" s="867"/>
      <c r="M201" s="867"/>
      <c r="N201" s="871"/>
      <c r="O201" s="871"/>
      <c r="P201" s="867"/>
      <c r="Q201" s="517"/>
    </row>
    <row r="202" spans="1:17">
      <c r="A202" s="541"/>
      <c r="B202" s="521" t="s">
        <v>1859</v>
      </c>
      <c r="C202" s="518"/>
      <c r="D202" s="517"/>
      <c r="E202" s="517"/>
      <c r="F202" s="517"/>
      <c r="G202" s="525"/>
      <c r="H202" s="519"/>
      <c r="I202" s="869"/>
      <c r="J202" s="870"/>
      <c r="K202" s="520"/>
      <c r="L202" s="867"/>
      <c r="M202" s="867"/>
      <c r="N202" s="871"/>
      <c r="O202" s="871"/>
      <c r="P202" s="867"/>
      <c r="Q202" s="517"/>
    </row>
    <row r="203" spans="1:17">
      <c r="A203" s="541"/>
      <c r="B203" s="517" t="s">
        <v>1945</v>
      </c>
      <c r="C203" s="518"/>
      <c r="D203" s="517"/>
      <c r="E203" s="517"/>
      <c r="F203" s="517"/>
      <c r="G203" s="525"/>
      <c r="H203" s="519"/>
      <c r="I203" s="869"/>
      <c r="J203" s="870"/>
      <c r="K203" s="520"/>
      <c r="L203" s="867"/>
      <c r="M203" s="867"/>
      <c r="N203" s="871"/>
      <c r="O203" s="871"/>
      <c r="P203" s="867"/>
      <c r="Q203" s="517"/>
    </row>
    <row r="204" spans="1:17">
      <c r="A204" s="541"/>
      <c r="B204" s="517" t="s">
        <v>1860</v>
      </c>
      <c r="C204" s="518"/>
      <c r="D204" s="517"/>
      <c r="E204" s="517"/>
      <c r="F204" s="517"/>
      <c r="G204" s="525"/>
      <c r="H204" s="519"/>
      <c r="I204" s="869"/>
      <c r="J204" s="870"/>
      <c r="K204" s="520"/>
      <c r="L204" s="867"/>
      <c r="M204" s="867"/>
      <c r="N204" s="871"/>
      <c r="O204" s="871"/>
      <c r="P204" s="867"/>
      <c r="Q204" s="517"/>
    </row>
    <row r="205" spans="1:17">
      <c r="A205" s="541"/>
      <c r="B205" s="517" t="s">
        <v>1946</v>
      </c>
      <c r="C205" s="518"/>
      <c r="D205" s="517"/>
      <c r="E205" s="517"/>
      <c r="F205" s="517"/>
      <c r="G205" s="525"/>
      <c r="H205" s="519"/>
      <c r="I205" s="869"/>
      <c r="J205" s="870"/>
      <c r="K205" s="520"/>
      <c r="L205" s="867"/>
      <c r="M205" s="867"/>
      <c r="N205" s="871"/>
      <c r="O205" s="871"/>
      <c r="P205" s="867"/>
      <c r="Q205" s="517"/>
    </row>
    <row r="206" spans="1:17">
      <c r="A206" s="541"/>
      <c r="B206" s="517" t="s">
        <v>1947</v>
      </c>
      <c r="C206" s="518"/>
      <c r="D206" s="517"/>
      <c r="E206" s="517"/>
      <c r="F206" s="517"/>
      <c r="G206" s="525"/>
      <c r="H206" s="519"/>
      <c r="I206" s="869"/>
      <c r="J206" s="870"/>
      <c r="K206" s="520"/>
      <c r="L206" s="867"/>
      <c r="M206" s="867"/>
      <c r="N206" s="871"/>
      <c r="O206" s="871"/>
      <c r="P206" s="867"/>
      <c r="Q206" s="517"/>
    </row>
    <row r="207" spans="1:17">
      <c r="A207" s="539"/>
      <c r="B207" s="517"/>
      <c r="C207" s="517"/>
      <c r="E207" s="517"/>
      <c r="F207" s="517"/>
      <c r="G207" s="525"/>
      <c r="H207" s="525"/>
      <c r="I207" s="531"/>
      <c r="J207" s="543"/>
      <c r="K207" s="531"/>
      <c r="L207" s="867"/>
      <c r="M207" s="867"/>
      <c r="N207" s="867"/>
      <c r="O207" s="867"/>
      <c r="P207" s="867"/>
      <c r="Q207" s="867"/>
    </row>
    <row r="208" spans="1:17">
      <c r="A208" s="544"/>
      <c r="B208" s="529"/>
      <c r="C208" s="529"/>
      <c r="D208" s="529"/>
      <c r="E208" s="529"/>
      <c r="F208" s="529"/>
      <c r="G208" s="528" t="s">
        <v>1687</v>
      </c>
      <c r="H208" s="528">
        <v>1</v>
      </c>
      <c r="I208" s="553"/>
      <c r="J208" s="545"/>
      <c r="K208" s="531">
        <v>12320.000000000002</v>
      </c>
      <c r="L208" s="867">
        <v>11200</v>
      </c>
      <c r="M208" s="867">
        <v>1.1000000000000001</v>
      </c>
      <c r="N208" s="867"/>
      <c r="O208" s="867"/>
      <c r="P208" s="867"/>
      <c r="Q208" s="867"/>
    </row>
    <row r="209" spans="1:17">
      <c r="A209" s="539"/>
      <c r="B209" s="517"/>
      <c r="C209" s="517"/>
      <c r="D209" s="517"/>
      <c r="E209" s="517"/>
      <c r="F209" s="517"/>
      <c r="G209" s="525"/>
      <c r="H209" s="525"/>
      <c r="I209" s="531"/>
      <c r="J209" s="543"/>
      <c r="K209" s="531"/>
      <c r="L209" s="867"/>
      <c r="M209" s="867"/>
      <c r="N209" s="867"/>
      <c r="O209" s="867"/>
      <c r="P209" s="867"/>
      <c r="Q209" s="867"/>
    </row>
    <row r="210" spans="1:17">
      <c r="A210" s="539"/>
      <c r="B210" s="517" t="s">
        <v>1691</v>
      </c>
      <c r="C210" s="517"/>
      <c r="D210" s="517"/>
      <c r="E210" s="517"/>
      <c r="F210" s="517"/>
      <c r="G210" s="525"/>
      <c r="H210" s="525"/>
      <c r="I210" s="531"/>
      <c r="J210" s="542"/>
      <c r="K210" s="531"/>
      <c r="L210" s="867"/>
      <c r="M210" s="867"/>
      <c r="N210" s="867"/>
      <c r="O210" s="867"/>
      <c r="P210" s="867"/>
      <c r="Q210" s="867"/>
    </row>
    <row r="211" spans="1:17">
      <c r="A211" s="539"/>
      <c r="B211" s="521" t="s">
        <v>1854</v>
      </c>
      <c r="C211" s="517"/>
      <c r="D211" s="517"/>
      <c r="E211" s="517"/>
      <c r="F211" s="517"/>
      <c r="G211" s="525"/>
      <c r="H211" s="525"/>
      <c r="I211" s="531"/>
      <c r="J211" s="542"/>
      <c r="K211" s="531"/>
      <c r="L211" s="867"/>
      <c r="M211" s="867"/>
      <c r="N211" s="867"/>
      <c r="O211" s="867"/>
      <c r="P211" s="867"/>
      <c r="Q211" s="867"/>
    </row>
    <row r="212" spans="1:17">
      <c r="A212" s="539"/>
      <c r="B212" s="521" t="s">
        <v>1803</v>
      </c>
      <c r="C212" s="517"/>
      <c r="D212" s="517"/>
      <c r="E212" s="517"/>
      <c r="F212" s="517"/>
      <c r="G212" s="525"/>
      <c r="H212" s="525"/>
      <c r="I212" s="531"/>
      <c r="J212" s="542"/>
      <c r="K212" s="531"/>
      <c r="L212" s="867"/>
      <c r="M212" s="867"/>
      <c r="N212" s="867"/>
      <c r="O212" s="867"/>
      <c r="P212" s="867"/>
      <c r="Q212" s="867"/>
    </row>
    <row r="213" spans="1:17">
      <c r="A213" s="539"/>
      <c r="B213" s="517" t="s">
        <v>1944</v>
      </c>
      <c r="C213" s="517"/>
      <c r="D213" s="517"/>
      <c r="E213" s="517"/>
      <c r="F213" s="517"/>
      <c r="G213" s="525"/>
      <c r="H213" s="525"/>
      <c r="I213" s="531"/>
      <c r="J213" s="542"/>
      <c r="K213" s="531"/>
      <c r="L213" s="867"/>
      <c r="M213" s="867"/>
      <c r="N213" s="867"/>
      <c r="O213" s="867"/>
      <c r="P213" s="867"/>
      <c r="Q213" s="867"/>
    </row>
    <row r="214" spans="1:17">
      <c r="A214" s="539"/>
      <c r="B214" s="521" t="s">
        <v>1855</v>
      </c>
      <c r="C214" s="517"/>
      <c r="D214" s="517"/>
      <c r="E214" s="517"/>
      <c r="F214" s="517"/>
      <c r="G214" s="525"/>
      <c r="H214" s="525"/>
      <c r="I214" s="531"/>
      <c r="J214" s="542"/>
      <c r="K214" s="531"/>
      <c r="L214" s="867"/>
      <c r="M214" s="867"/>
      <c r="N214" s="867"/>
      <c r="O214" s="867"/>
      <c r="P214" s="867"/>
      <c r="Q214" s="867"/>
    </row>
    <row r="215" spans="1:17">
      <c r="A215" s="539"/>
      <c r="B215" s="521" t="s">
        <v>1861</v>
      </c>
      <c r="C215" s="517"/>
      <c r="D215" s="517"/>
      <c r="E215" s="517"/>
      <c r="F215" s="517"/>
      <c r="G215" s="525"/>
      <c r="H215" s="525"/>
      <c r="I215" s="531"/>
      <c r="J215" s="542"/>
      <c r="K215" s="531"/>
      <c r="L215" s="867"/>
      <c r="M215" s="867"/>
      <c r="N215" s="867"/>
      <c r="O215" s="867"/>
      <c r="P215" s="867"/>
      <c r="Q215" s="867"/>
    </row>
    <row r="216" spans="1:17">
      <c r="A216" s="539"/>
      <c r="B216" s="521" t="s">
        <v>1862</v>
      </c>
      <c r="C216" s="517"/>
      <c r="D216" s="517"/>
      <c r="E216" s="517"/>
      <c r="F216" s="517"/>
      <c r="G216" s="525"/>
      <c r="H216" s="525"/>
      <c r="I216" s="531"/>
      <c r="J216" s="542"/>
      <c r="K216" s="531"/>
      <c r="L216" s="867"/>
      <c r="M216" s="867"/>
      <c r="N216" s="867"/>
      <c r="O216" s="867"/>
      <c r="P216" s="867"/>
      <c r="Q216" s="867"/>
    </row>
    <row r="217" spans="1:17">
      <c r="A217" s="539"/>
      <c r="B217" s="517" t="s">
        <v>1863</v>
      </c>
      <c r="C217" s="517"/>
      <c r="D217" s="517"/>
      <c r="E217" s="517"/>
      <c r="F217" s="517"/>
      <c r="G217" s="525"/>
      <c r="H217" s="525"/>
      <c r="I217" s="531"/>
      <c r="J217" s="542"/>
      <c r="K217" s="531"/>
      <c r="L217" s="867"/>
      <c r="M217" s="867"/>
      <c r="N217" s="867"/>
      <c r="O217" s="867"/>
      <c r="P217" s="867"/>
      <c r="Q217" s="867"/>
    </row>
    <row r="218" spans="1:17">
      <c r="A218" s="539"/>
      <c r="B218" s="521" t="s">
        <v>1864</v>
      </c>
      <c r="C218" s="517"/>
      <c r="D218" s="517"/>
      <c r="E218" s="517"/>
      <c r="F218" s="517"/>
      <c r="G218" s="525"/>
      <c r="H218" s="525"/>
      <c r="I218" s="531"/>
      <c r="J218" s="542"/>
      <c r="K218" s="531"/>
      <c r="L218" s="867"/>
      <c r="M218" s="867"/>
      <c r="N218" s="867"/>
      <c r="O218" s="867"/>
      <c r="P218" s="867"/>
      <c r="Q218" s="867"/>
    </row>
    <row r="219" spans="1:17">
      <c r="A219" s="539"/>
      <c r="B219" s="517" t="s">
        <v>1948</v>
      </c>
      <c r="C219" s="517"/>
      <c r="D219" s="517"/>
      <c r="E219" s="517"/>
      <c r="F219" s="517"/>
      <c r="G219" s="525"/>
      <c r="H219" s="525"/>
      <c r="I219" s="531"/>
      <c r="J219" s="542"/>
      <c r="K219" s="531"/>
      <c r="L219" s="867"/>
      <c r="M219" s="867"/>
      <c r="N219" s="867"/>
      <c r="O219" s="867"/>
      <c r="P219" s="867"/>
      <c r="Q219" s="867"/>
    </row>
    <row r="220" spans="1:17">
      <c r="A220" s="539"/>
      <c r="B220" s="517" t="s">
        <v>1865</v>
      </c>
      <c r="C220" s="517"/>
      <c r="D220" s="517"/>
      <c r="E220" s="517"/>
      <c r="F220" s="517"/>
      <c r="G220" s="525"/>
      <c r="H220" s="525"/>
      <c r="I220" s="531"/>
      <c r="J220" s="542"/>
      <c r="K220" s="531"/>
      <c r="L220" s="867"/>
      <c r="M220" s="867"/>
      <c r="N220" s="867"/>
      <c r="O220" s="867"/>
      <c r="P220" s="867"/>
      <c r="Q220" s="867"/>
    </row>
    <row r="221" spans="1:17">
      <c r="A221" s="539"/>
      <c r="B221" s="517" t="s">
        <v>1949</v>
      </c>
      <c r="C221" s="517"/>
      <c r="D221" s="517"/>
      <c r="E221" s="517"/>
      <c r="F221" s="517"/>
      <c r="G221" s="525"/>
      <c r="H221" s="525"/>
      <c r="I221" s="531"/>
      <c r="J221" s="542"/>
      <c r="K221" s="531"/>
      <c r="L221" s="867"/>
      <c r="M221" s="867"/>
      <c r="N221" s="867"/>
      <c r="O221" s="867"/>
      <c r="P221" s="867"/>
      <c r="Q221" s="867"/>
    </row>
    <row r="222" spans="1:17">
      <c r="A222" s="539"/>
      <c r="B222" s="517" t="s">
        <v>1950</v>
      </c>
      <c r="C222" s="517"/>
      <c r="D222" s="517"/>
      <c r="E222" s="517"/>
      <c r="F222" s="517"/>
      <c r="G222" s="525"/>
      <c r="H222" s="525"/>
      <c r="I222" s="531"/>
      <c r="J222" s="542"/>
      <c r="K222" s="531"/>
      <c r="L222" s="867"/>
      <c r="M222" s="867"/>
      <c r="N222" s="867"/>
      <c r="O222" s="867"/>
      <c r="P222" s="867"/>
      <c r="Q222" s="867"/>
    </row>
    <row r="223" spans="1:17">
      <c r="A223" s="539"/>
      <c r="B223" s="517"/>
      <c r="C223" s="517"/>
      <c r="D223" s="517"/>
      <c r="E223" s="517"/>
      <c r="F223" s="517"/>
      <c r="G223" s="525"/>
      <c r="H223" s="525"/>
      <c r="I223" s="531"/>
      <c r="J223" s="542"/>
      <c r="K223" s="531"/>
      <c r="L223" s="867"/>
      <c r="M223" s="867"/>
      <c r="N223" s="867"/>
      <c r="O223" s="867"/>
      <c r="P223" s="867"/>
      <c r="Q223" s="867"/>
    </row>
    <row r="224" spans="1:17">
      <c r="A224" s="544"/>
      <c r="B224" s="529"/>
      <c r="C224" s="529"/>
      <c r="D224" s="529"/>
      <c r="E224" s="529"/>
      <c r="F224" s="529"/>
      <c r="G224" s="528" t="s">
        <v>1687</v>
      </c>
      <c r="H224" s="528">
        <v>1</v>
      </c>
      <c r="I224" s="553"/>
      <c r="J224" s="545"/>
      <c r="K224" s="531">
        <v>13761.000000000002</v>
      </c>
      <c r="L224" s="867">
        <v>12510</v>
      </c>
      <c r="M224" s="867">
        <v>1.1000000000000001</v>
      </c>
      <c r="N224" s="867"/>
      <c r="O224" s="867"/>
      <c r="P224" s="867"/>
      <c r="Q224" s="867"/>
    </row>
    <row r="225" spans="1:17">
      <c r="A225" s="539"/>
      <c r="B225" s="517"/>
      <c r="C225" s="517"/>
      <c r="D225" s="517"/>
      <c r="E225" s="517"/>
      <c r="F225" s="517"/>
      <c r="G225" s="525"/>
      <c r="H225" s="525"/>
      <c r="I225" s="531"/>
      <c r="J225" s="543"/>
      <c r="K225" s="531"/>
      <c r="L225" s="867"/>
      <c r="M225" s="867"/>
      <c r="N225" s="867"/>
      <c r="O225" s="867"/>
      <c r="P225" s="867"/>
      <c r="Q225" s="867"/>
    </row>
    <row r="226" spans="1:17">
      <c r="A226" s="539"/>
      <c r="B226" s="517" t="s">
        <v>1692</v>
      </c>
      <c r="C226" s="517"/>
      <c r="D226" s="517"/>
      <c r="E226" s="517"/>
      <c r="F226" s="517"/>
      <c r="G226" s="525"/>
      <c r="H226" s="525"/>
      <c r="I226" s="531"/>
      <c r="J226" s="542"/>
      <c r="K226" s="531"/>
      <c r="L226" s="867"/>
      <c r="M226" s="867"/>
      <c r="N226" s="867"/>
      <c r="O226" s="867"/>
      <c r="P226" s="867"/>
      <c r="Q226" s="867"/>
    </row>
    <row r="227" spans="1:17">
      <c r="A227" s="539"/>
      <c r="B227" s="521" t="s">
        <v>1854</v>
      </c>
      <c r="C227" s="517"/>
      <c r="D227" s="517"/>
      <c r="E227" s="517"/>
      <c r="F227" s="517"/>
      <c r="G227" s="525"/>
      <c r="H227" s="525"/>
      <c r="I227" s="531"/>
      <c r="J227" s="542"/>
      <c r="K227" s="531"/>
      <c r="L227" s="867"/>
      <c r="M227" s="867"/>
      <c r="N227" s="867"/>
      <c r="O227" s="867"/>
      <c r="P227" s="867"/>
      <c r="Q227" s="867"/>
    </row>
    <row r="228" spans="1:17">
      <c r="A228" s="539"/>
      <c r="B228" s="521" t="s">
        <v>1803</v>
      </c>
      <c r="C228" s="517"/>
      <c r="D228" s="517"/>
      <c r="E228" s="517"/>
      <c r="F228" s="517"/>
      <c r="G228" s="525"/>
      <c r="H228" s="525"/>
      <c r="I228" s="531"/>
      <c r="J228" s="542"/>
      <c r="K228" s="531"/>
      <c r="L228" s="867"/>
      <c r="M228" s="867"/>
      <c r="N228" s="867"/>
      <c r="O228" s="867"/>
      <c r="P228" s="867"/>
      <c r="Q228" s="867"/>
    </row>
    <row r="229" spans="1:17">
      <c r="A229" s="539"/>
      <c r="B229" s="517" t="s">
        <v>1944</v>
      </c>
      <c r="C229" s="517"/>
      <c r="D229" s="517"/>
      <c r="E229" s="517"/>
      <c r="F229" s="517"/>
      <c r="G229" s="525"/>
      <c r="H229" s="525"/>
      <c r="I229" s="531"/>
      <c r="J229" s="542"/>
      <c r="K229" s="531"/>
      <c r="L229" s="867"/>
      <c r="M229" s="867"/>
      <c r="N229" s="867"/>
      <c r="O229" s="867"/>
      <c r="P229" s="867"/>
      <c r="Q229" s="867"/>
    </row>
    <row r="230" spans="1:17">
      <c r="A230" s="539"/>
      <c r="B230" s="521" t="s">
        <v>1855</v>
      </c>
      <c r="C230" s="517"/>
      <c r="D230" s="517"/>
      <c r="E230" s="517"/>
      <c r="F230" s="517"/>
      <c r="G230" s="525"/>
      <c r="H230" s="525"/>
      <c r="I230" s="531"/>
      <c r="J230" s="542"/>
      <c r="K230" s="531"/>
      <c r="L230" s="867"/>
      <c r="M230" s="867"/>
      <c r="N230" s="867"/>
      <c r="O230" s="867"/>
      <c r="P230" s="867"/>
      <c r="Q230" s="867"/>
    </row>
    <row r="231" spans="1:17">
      <c r="A231" s="539"/>
      <c r="B231" s="521" t="s">
        <v>1861</v>
      </c>
      <c r="C231" s="517"/>
      <c r="D231" s="517"/>
      <c r="E231" s="517"/>
      <c r="F231" s="517"/>
      <c r="G231" s="525"/>
      <c r="H231" s="525"/>
      <c r="I231" s="531"/>
      <c r="J231" s="542"/>
      <c r="K231" s="531"/>
      <c r="L231" s="867"/>
      <c r="M231" s="867"/>
      <c r="N231" s="867"/>
      <c r="O231" s="867"/>
      <c r="P231" s="867"/>
      <c r="Q231" s="867"/>
    </row>
    <row r="232" spans="1:17">
      <c r="A232" s="539"/>
      <c r="B232" s="521" t="s">
        <v>1866</v>
      </c>
      <c r="C232" s="517"/>
      <c r="D232" s="517"/>
      <c r="E232" s="517"/>
      <c r="F232" s="517"/>
      <c r="G232" s="525"/>
      <c r="H232" s="525"/>
      <c r="I232" s="531"/>
      <c r="J232" s="542"/>
      <c r="K232" s="531"/>
      <c r="L232" s="867"/>
      <c r="M232" s="867"/>
      <c r="N232" s="867"/>
      <c r="O232" s="867"/>
      <c r="P232" s="867"/>
      <c r="Q232" s="867"/>
    </row>
    <row r="233" spans="1:17">
      <c r="A233" s="539"/>
      <c r="B233" s="517" t="s">
        <v>1867</v>
      </c>
      <c r="C233" s="517"/>
      <c r="D233" s="517"/>
      <c r="E233" s="517"/>
      <c r="F233" s="517"/>
      <c r="G233" s="525"/>
      <c r="H233" s="525"/>
      <c r="I233" s="531"/>
      <c r="J233" s="542"/>
      <c r="K233" s="531"/>
      <c r="L233" s="867"/>
      <c r="M233" s="867"/>
      <c r="N233" s="867"/>
      <c r="O233" s="867"/>
      <c r="P233" s="867"/>
      <c r="Q233" s="867"/>
    </row>
    <row r="234" spans="1:17">
      <c r="A234" s="539"/>
      <c r="B234" s="521" t="s">
        <v>1868</v>
      </c>
      <c r="C234" s="517"/>
      <c r="D234" s="517"/>
      <c r="E234" s="517"/>
      <c r="F234" s="517"/>
      <c r="G234" s="525"/>
      <c r="H234" s="525"/>
      <c r="I234" s="531"/>
      <c r="J234" s="542"/>
      <c r="K234" s="531"/>
      <c r="L234" s="867"/>
      <c r="M234" s="867"/>
      <c r="N234" s="867"/>
      <c r="O234" s="867"/>
      <c r="P234" s="867"/>
      <c r="Q234" s="867"/>
    </row>
    <row r="235" spans="1:17">
      <c r="A235" s="539"/>
      <c r="B235" s="517" t="s">
        <v>1951</v>
      </c>
      <c r="C235" s="517"/>
      <c r="D235" s="517"/>
      <c r="E235" s="517"/>
      <c r="F235" s="517"/>
      <c r="G235" s="525"/>
      <c r="H235" s="525"/>
      <c r="I235" s="531"/>
      <c r="J235" s="542"/>
      <c r="K235" s="531"/>
      <c r="L235" s="867"/>
      <c r="M235" s="867"/>
      <c r="N235" s="867"/>
      <c r="O235" s="867"/>
      <c r="P235" s="867"/>
      <c r="Q235" s="867"/>
    </row>
    <row r="236" spans="1:17">
      <c r="A236" s="539"/>
      <c r="B236" s="517" t="s">
        <v>1869</v>
      </c>
      <c r="C236" s="517"/>
      <c r="D236" s="517"/>
      <c r="E236" s="517"/>
      <c r="F236" s="517"/>
      <c r="G236" s="525"/>
      <c r="H236" s="525"/>
      <c r="I236" s="531"/>
      <c r="J236" s="542"/>
      <c r="K236" s="531"/>
      <c r="L236" s="867"/>
      <c r="M236" s="867"/>
      <c r="N236" s="867"/>
      <c r="O236" s="867"/>
      <c r="P236" s="867"/>
      <c r="Q236" s="867"/>
    </row>
    <row r="237" spans="1:17">
      <c r="A237" s="539"/>
      <c r="B237" s="517" t="s">
        <v>1952</v>
      </c>
      <c r="C237" s="517"/>
      <c r="D237" s="517"/>
      <c r="E237" s="517"/>
      <c r="F237" s="517"/>
      <c r="G237" s="525"/>
      <c r="H237" s="525"/>
      <c r="I237" s="531"/>
      <c r="J237" s="542"/>
      <c r="K237" s="531"/>
      <c r="L237" s="867"/>
      <c r="M237" s="867"/>
      <c r="N237" s="867"/>
      <c r="O237" s="867"/>
      <c r="P237" s="867"/>
      <c r="Q237" s="867"/>
    </row>
    <row r="238" spans="1:17">
      <c r="A238" s="539"/>
      <c r="B238" s="517" t="s">
        <v>1953</v>
      </c>
      <c r="C238" s="517"/>
      <c r="D238" s="517"/>
      <c r="E238" s="517"/>
      <c r="F238" s="517"/>
      <c r="G238" s="525"/>
      <c r="H238" s="525"/>
      <c r="I238" s="531"/>
      <c r="J238" s="542"/>
      <c r="K238" s="531"/>
      <c r="L238" s="867"/>
      <c r="M238" s="867"/>
      <c r="N238" s="867"/>
      <c r="O238" s="867"/>
      <c r="P238" s="867"/>
      <c r="Q238" s="867"/>
    </row>
    <row r="239" spans="1:17">
      <c r="A239" s="539"/>
      <c r="B239" s="517"/>
      <c r="C239" s="517"/>
      <c r="D239" s="517"/>
      <c r="E239" s="517"/>
      <c r="F239" s="517"/>
      <c r="G239" s="525"/>
      <c r="H239" s="525"/>
      <c r="I239" s="531"/>
      <c r="J239" s="542"/>
      <c r="K239" s="531"/>
      <c r="L239" s="867"/>
      <c r="M239" s="867"/>
      <c r="N239" s="867"/>
      <c r="O239" s="867"/>
      <c r="P239" s="867"/>
      <c r="Q239" s="867"/>
    </row>
    <row r="240" spans="1:17">
      <c r="A240" s="544"/>
      <c r="B240" s="529"/>
      <c r="C240" s="529"/>
      <c r="D240" s="529"/>
      <c r="E240" s="529"/>
      <c r="F240" s="529"/>
      <c r="G240" s="528" t="s">
        <v>1687</v>
      </c>
      <c r="H240" s="528">
        <v>1</v>
      </c>
      <c r="I240" s="553"/>
      <c r="J240" s="545"/>
      <c r="K240" s="531">
        <v>15763.000000000002</v>
      </c>
      <c r="L240" s="867">
        <v>14330</v>
      </c>
      <c r="M240" s="867">
        <v>1.1000000000000001</v>
      </c>
      <c r="N240" s="867"/>
      <c r="O240" s="867"/>
      <c r="P240" s="867"/>
      <c r="Q240" s="867"/>
    </row>
    <row r="241" spans="1:17">
      <c r="A241" s="539"/>
      <c r="B241" s="517"/>
      <c r="C241" s="517"/>
      <c r="D241" s="517"/>
      <c r="E241" s="517"/>
      <c r="F241" s="517"/>
      <c r="G241" s="525"/>
      <c r="H241" s="525"/>
      <c r="I241" s="531"/>
      <c r="J241" s="543"/>
      <c r="K241" s="531"/>
      <c r="L241" s="867"/>
      <c r="M241" s="867"/>
      <c r="N241" s="867"/>
      <c r="O241" s="867"/>
      <c r="P241" s="867"/>
      <c r="Q241" s="867"/>
    </row>
    <row r="242" spans="1:17">
      <c r="A242" s="541" t="s">
        <v>1</v>
      </c>
      <c r="B242" s="517" t="s">
        <v>1711</v>
      </c>
      <c r="C242" s="517"/>
      <c r="D242" s="517"/>
      <c r="E242" s="517"/>
      <c r="F242" s="517"/>
      <c r="G242" s="525"/>
      <c r="H242" s="525"/>
      <c r="I242" s="531"/>
      <c r="J242" s="543"/>
      <c r="K242" s="531"/>
      <c r="L242" s="867"/>
      <c r="M242" s="867"/>
      <c r="N242" s="867"/>
      <c r="O242" s="867"/>
      <c r="P242" s="867"/>
      <c r="Q242" s="867"/>
    </row>
    <row r="243" spans="1:17">
      <c r="A243" s="539"/>
      <c r="B243" s="517" t="s">
        <v>643</v>
      </c>
      <c r="C243" s="517"/>
      <c r="D243" s="517"/>
      <c r="E243" s="517"/>
      <c r="F243" s="517"/>
      <c r="G243" s="525"/>
      <c r="H243" s="525"/>
      <c r="I243" s="531"/>
      <c r="J243" s="543"/>
      <c r="K243" s="531"/>
      <c r="L243" s="867"/>
      <c r="M243" s="867"/>
      <c r="N243" s="867"/>
      <c r="O243" s="867"/>
      <c r="P243" s="867"/>
      <c r="Q243" s="867"/>
    </row>
    <row r="244" spans="1:17" ht="16.5" thickBot="1">
      <c r="A244" s="544"/>
      <c r="B244" s="529"/>
      <c r="C244" s="529"/>
      <c r="D244" s="529"/>
      <c r="E244" s="529"/>
      <c r="F244" s="529"/>
      <c r="G244" s="530" t="s">
        <v>109</v>
      </c>
      <c r="H244" s="530">
        <v>250</v>
      </c>
      <c r="I244" s="885"/>
      <c r="J244" s="546"/>
      <c r="K244" s="531">
        <v>2.5</v>
      </c>
      <c r="L244" s="867">
        <v>38000</v>
      </c>
      <c r="M244" s="867"/>
      <c r="N244" s="867"/>
      <c r="O244" s="867"/>
      <c r="P244" s="867"/>
      <c r="Q244" s="867"/>
    </row>
    <row r="245" spans="1:17" ht="17.25" thickTop="1" thickBot="1">
      <c r="A245" s="547"/>
      <c r="B245" s="514"/>
      <c r="C245" s="514"/>
      <c r="D245" s="514"/>
      <c r="E245" s="514"/>
      <c r="F245" s="514"/>
      <c r="G245" s="548"/>
      <c r="H245" s="549" t="s">
        <v>644</v>
      </c>
      <c r="I245" s="550"/>
      <c r="J245" s="911"/>
      <c r="K245" s="515"/>
      <c r="L245" s="514"/>
      <c r="M245" s="514"/>
      <c r="N245" s="515"/>
      <c r="O245" s="515"/>
      <c r="P245" s="514"/>
      <c r="Q245" s="514"/>
    </row>
    <row r="246" spans="1:17" ht="16.5" thickTop="1">
      <c r="A246" s="547"/>
      <c r="B246" s="880"/>
      <c r="C246" s="514"/>
      <c r="D246" s="514"/>
      <c r="E246" s="514"/>
      <c r="F246" s="514"/>
      <c r="G246" s="577"/>
      <c r="H246" s="577"/>
      <c r="I246" s="515"/>
      <c r="J246" s="538"/>
      <c r="K246" s="515"/>
      <c r="L246" s="514"/>
      <c r="M246" s="514"/>
      <c r="N246" s="515"/>
      <c r="O246" s="515"/>
      <c r="P246" s="514"/>
    </row>
    <row r="247" spans="1:17">
      <c r="A247" s="547"/>
      <c r="B247" s="880"/>
      <c r="C247" s="514"/>
      <c r="D247" s="514"/>
      <c r="E247" s="514"/>
      <c r="F247" s="514"/>
      <c r="G247" s="577"/>
      <c r="H247" s="577"/>
      <c r="I247" s="515"/>
      <c r="J247" s="538"/>
      <c r="K247" s="515"/>
      <c r="L247" s="514"/>
      <c r="M247" s="514"/>
      <c r="N247" s="515"/>
      <c r="O247" s="515"/>
      <c r="P247" s="514"/>
    </row>
    <row r="248" spans="1:17">
      <c r="A248" s="547"/>
      <c r="B248" s="880"/>
      <c r="C248" s="514"/>
      <c r="D248" s="514"/>
      <c r="E248" s="514"/>
      <c r="F248" s="514"/>
      <c r="G248" s="577"/>
      <c r="H248" s="577"/>
      <c r="I248" s="515"/>
      <c r="J248" s="538"/>
      <c r="K248" s="515"/>
      <c r="L248" s="514"/>
      <c r="M248" s="514"/>
      <c r="N248" s="515"/>
      <c r="O248" s="515"/>
      <c r="P248" s="514"/>
    </row>
    <row r="249" spans="1:17" ht="17.25">
      <c r="A249" s="537" t="s">
        <v>645</v>
      </c>
      <c r="B249" s="880"/>
      <c r="C249" s="514"/>
      <c r="D249" s="514"/>
      <c r="E249" s="514"/>
      <c r="F249" s="514"/>
      <c r="G249" s="577"/>
      <c r="H249" s="577"/>
      <c r="I249" s="515"/>
      <c r="J249" s="882"/>
      <c r="K249" s="515"/>
      <c r="L249" s="514"/>
      <c r="M249" s="514"/>
      <c r="N249" s="514"/>
      <c r="O249" s="514"/>
      <c r="P249" s="514"/>
    </row>
    <row r="250" spans="1:17">
      <c r="A250" s="541"/>
      <c r="B250" s="534"/>
      <c r="C250" s="525"/>
      <c r="D250" s="517"/>
      <c r="E250" s="517"/>
      <c r="F250" s="517"/>
      <c r="G250" s="525"/>
      <c r="H250" s="525"/>
      <c r="I250" s="531"/>
      <c r="J250" s="543"/>
      <c r="K250" s="531"/>
      <c r="L250" s="867"/>
      <c r="M250" s="867"/>
      <c r="N250" s="867"/>
      <c r="O250" s="867"/>
      <c r="P250" s="867"/>
      <c r="Q250" s="867"/>
    </row>
    <row r="251" spans="1:17">
      <c r="A251" s="541" t="s">
        <v>0</v>
      </c>
      <c r="B251" s="534" t="s">
        <v>646</v>
      </c>
      <c r="C251" s="517"/>
      <c r="D251" s="517"/>
      <c r="E251" s="517"/>
      <c r="F251" s="517"/>
      <c r="G251" s="525"/>
      <c r="H251" s="525"/>
      <c r="I251" s="531"/>
      <c r="J251" s="542"/>
      <c r="K251" s="531"/>
      <c r="L251" s="867"/>
      <c r="M251" s="867"/>
      <c r="N251" s="867"/>
      <c r="O251" s="867"/>
      <c r="P251" s="867"/>
      <c r="Q251" s="867"/>
    </row>
    <row r="252" spans="1:17">
      <c r="A252" s="541"/>
      <c r="B252" s="534" t="s">
        <v>647</v>
      </c>
      <c r="C252" s="517"/>
      <c r="D252" s="517"/>
      <c r="E252" s="517"/>
      <c r="F252" s="517"/>
      <c r="G252" s="525"/>
      <c r="H252" s="525"/>
      <c r="I252" s="531"/>
      <c r="J252" s="542"/>
      <c r="K252" s="531"/>
      <c r="L252" s="867"/>
      <c r="M252" s="867"/>
      <c r="N252" s="867"/>
      <c r="O252" s="867"/>
      <c r="P252" s="867"/>
      <c r="Q252" s="867"/>
    </row>
    <row r="253" spans="1:17">
      <c r="A253" s="541"/>
      <c r="B253" s="534" t="s">
        <v>1870</v>
      </c>
      <c r="C253" s="517"/>
      <c r="D253" s="517"/>
      <c r="E253" s="517"/>
      <c r="F253" s="517"/>
      <c r="G253" s="525"/>
      <c r="H253" s="525"/>
      <c r="I253" s="531"/>
      <c r="J253" s="542"/>
      <c r="K253" s="531"/>
      <c r="L253" s="867"/>
      <c r="M253" s="867"/>
      <c r="N253" s="867"/>
      <c r="O253" s="867"/>
      <c r="P253" s="867"/>
      <c r="Q253" s="867"/>
    </row>
    <row r="254" spans="1:17">
      <c r="A254" s="541"/>
      <c r="B254" s="534" t="s">
        <v>1712</v>
      </c>
      <c r="C254" s="517"/>
      <c r="D254" s="517"/>
      <c r="E254" s="517"/>
      <c r="F254" s="517"/>
      <c r="G254" s="525"/>
      <c r="H254" s="525"/>
      <c r="I254" s="531"/>
      <c r="J254" s="542"/>
      <c r="K254" s="531"/>
      <c r="L254" s="867"/>
      <c r="M254" s="867"/>
      <c r="N254" s="867"/>
      <c r="O254" s="867"/>
      <c r="P254" s="867"/>
      <c r="Q254" s="867"/>
    </row>
    <row r="255" spans="1:17">
      <c r="A255" s="541"/>
      <c r="B255" s="521" t="s">
        <v>1801</v>
      </c>
      <c r="C255" s="517"/>
      <c r="D255" s="517"/>
      <c r="E255" s="517"/>
      <c r="F255" s="517"/>
      <c r="G255" s="525"/>
      <c r="H255" s="525"/>
      <c r="I255" s="531"/>
      <c r="J255" s="542"/>
      <c r="K255" s="531"/>
      <c r="L255" s="867"/>
      <c r="M255" s="867"/>
      <c r="N255" s="867"/>
      <c r="O255" s="867"/>
      <c r="P255" s="867"/>
      <c r="Q255" s="867"/>
    </row>
    <row r="256" spans="1:17">
      <c r="A256" s="541"/>
      <c r="B256" s="521"/>
      <c r="C256" s="517"/>
      <c r="D256" s="517"/>
      <c r="E256" s="517"/>
      <c r="F256" s="517"/>
      <c r="G256" s="525"/>
      <c r="H256" s="525"/>
      <c r="I256" s="531"/>
      <c r="J256" s="542"/>
      <c r="K256" s="531"/>
      <c r="L256" s="867"/>
      <c r="M256" s="867"/>
      <c r="N256" s="867"/>
      <c r="O256" s="867"/>
      <c r="P256" s="867"/>
      <c r="Q256" s="867"/>
    </row>
    <row r="257" spans="1:17">
      <c r="A257" s="541"/>
      <c r="B257" s="898" t="s">
        <v>1693</v>
      </c>
      <c r="C257" s="899"/>
      <c r="D257" s="517"/>
      <c r="E257" s="517"/>
      <c r="F257" s="517"/>
      <c r="G257" s="525"/>
      <c r="H257" s="525"/>
      <c r="I257" s="531"/>
      <c r="J257" s="543"/>
      <c r="K257" s="531"/>
      <c r="L257" s="867"/>
      <c r="M257" s="867"/>
      <c r="N257" s="867"/>
      <c r="O257" s="867"/>
      <c r="P257" s="867"/>
      <c r="Q257" s="867"/>
    </row>
    <row r="258" spans="1:17">
      <c r="A258" s="541"/>
      <c r="B258" s="534" t="s">
        <v>648</v>
      </c>
      <c r="C258" s="517"/>
      <c r="D258" s="517"/>
      <c r="E258" s="517"/>
      <c r="F258" s="517"/>
      <c r="G258" s="525"/>
      <c r="H258" s="525"/>
      <c r="I258" s="531"/>
      <c r="J258" s="543"/>
      <c r="K258" s="531"/>
      <c r="L258" s="867"/>
      <c r="M258" s="867"/>
      <c r="N258" s="867"/>
      <c r="O258" s="867"/>
      <c r="P258" s="867"/>
      <c r="Q258" s="867"/>
    </row>
    <row r="259" spans="1:17">
      <c r="A259" s="541"/>
      <c r="B259" s="534" t="s">
        <v>649</v>
      </c>
      <c r="C259" s="517"/>
      <c r="D259" s="517"/>
      <c r="E259" s="517"/>
      <c r="F259" s="517"/>
      <c r="G259" s="525"/>
      <c r="H259" s="525"/>
      <c r="I259" s="531"/>
      <c r="J259" s="543"/>
      <c r="K259" s="531"/>
      <c r="L259" s="867"/>
      <c r="M259" s="867"/>
      <c r="N259" s="867"/>
      <c r="O259" s="867"/>
      <c r="P259" s="867"/>
      <c r="Q259" s="867"/>
    </row>
    <row r="260" spans="1:17">
      <c r="A260" s="541"/>
      <c r="B260" s="534" t="s">
        <v>1713</v>
      </c>
      <c r="C260" s="517"/>
      <c r="D260" s="517"/>
      <c r="E260" s="517"/>
      <c r="F260" s="517"/>
      <c r="G260" s="525"/>
      <c r="H260" s="525"/>
      <c r="I260" s="531"/>
      <c r="J260" s="543"/>
      <c r="K260" s="531"/>
      <c r="L260" s="867"/>
      <c r="M260" s="867"/>
      <c r="N260" s="867"/>
      <c r="O260" s="867"/>
      <c r="P260" s="867"/>
      <c r="Q260" s="867"/>
    </row>
    <row r="261" spans="1:17">
      <c r="A261" s="541"/>
      <c r="B261" s="534" t="s">
        <v>1871</v>
      </c>
      <c r="C261" s="517"/>
      <c r="D261" s="517"/>
      <c r="E261" s="517"/>
      <c r="F261" s="517"/>
      <c r="G261" s="525"/>
      <c r="H261" s="525"/>
      <c r="I261" s="531"/>
      <c r="J261" s="543"/>
      <c r="K261" s="531"/>
      <c r="L261" s="867"/>
      <c r="M261" s="867"/>
      <c r="N261" s="867"/>
      <c r="O261" s="867"/>
      <c r="P261" s="867"/>
      <c r="Q261" s="867"/>
    </row>
    <row r="262" spans="1:17">
      <c r="A262" s="541"/>
      <c r="B262" s="534" t="s">
        <v>1872</v>
      </c>
      <c r="C262" s="517"/>
      <c r="D262" s="517"/>
      <c r="E262" s="517"/>
      <c r="F262" s="517"/>
      <c r="G262" s="525"/>
      <c r="H262" s="525"/>
      <c r="I262" s="531"/>
      <c r="J262" s="543"/>
      <c r="K262" s="531"/>
      <c r="L262" s="867"/>
      <c r="M262" s="867"/>
      <c r="N262" s="867"/>
      <c r="O262" s="867"/>
      <c r="P262" s="867"/>
      <c r="Q262" s="867"/>
    </row>
    <row r="263" spans="1:17">
      <c r="A263" s="541"/>
      <c r="B263" s="534" t="s">
        <v>1873</v>
      </c>
      <c r="C263" s="517"/>
      <c r="D263" s="517"/>
      <c r="E263" s="517"/>
      <c r="F263" s="517"/>
      <c r="G263" s="525"/>
      <c r="H263" s="525"/>
      <c r="I263" s="531"/>
      <c r="J263" s="543"/>
      <c r="K263" s="531"/>
      <c r="L263" s="867"/>
      <c r="M263" s="867"/>
      <c r="N263" s="867"/>
      <c r="O263" s="867"/>
      <c r="P263" s="867"/>
      <c r="Q263" s="867"/>
    </row>
    <row r="264" spans="1:17">
      <c r="A264" s="541"/>
      <c r="B264" s="877"/>
      <c r="C264" s="529"/>
      <c r="D264" s="529"/>
      <c r="E264" s="529"/>
      <c r="F264" s="529"/>
      <c r="G264" s="528" t="s">
        <v>631</v>
      </c>
      <c r="H264" s="528">
        <v>6</v>
      </c>
      <c r="I264" s="553"/>
      <c r="J264" s="545"/>
      <c r="K264" s="531"/>
      <c r="L264" s="867"/>
      <c r="M264" s="867"/>
      <c r="N264" s="867"/>
      <c r="O264" s="867"/>
      <c r="P264" s="867"/>
      <c r="Q264" s="867"/>
    </row>
    <row r="265" spans="1:17">
      <c r="A265" s="541"/>
      <c r="B265" s="898" t="s">
        <v>1694</v>
      </c>
      <c r="C265" s="899"/>
      <c r="D265" s="517"/>
      <c r="E265" s="517"/>
      <c r="F265" s="517"/>
      <c r="G265" s="525"/>
      <c r="H265" s="525"/>
      <c r="I265" s="531"/>
      <c r="J265" s="543"/>
      <c r="K265" s="531"/>
      <c r="L265" s="867"/>
      <c r="M265" s="867"/>
      <c r="N265" s="867"/>
      <c r="O265" s="867"/>
      <c r="P265" s="867"/>
      <c r="Q265" s="867"/>
    </row>
    <row r="266" spans="1:17">
      <c r="A266" s="541"/>
      <c r="B266" s="534" t="s">
        <v>648</v>
      </c>
      <c r="C266" s="517"/>
      <c r="D266" s="517"/>
      <c r="E266" s="517"/>
      <c r="F266" s="517"/>
      <c r="G266" s="525"/>
      <c r="H266" s="525"/>
      <c r="I266" s="531"/>
      <c r="J266" s="543"/>
      <c r="K266" s="531"/>
      <c r="L266" s="867"/>
      <c r="M266" s="867"/>
      <c r="N266" s="867"/>
      <c r="O266" s="867"/>
      <c r="P266" s="867"/>
      <c r="Q266" s="867"/>
    </row>
    <row r="267" spans="1:17">
      <c r="A267" s="541"/>
      <c r="B267" s="534" t="s">
        <v>650</v>
      </c>
      <c r="C267" s="517"/>
      <c r="D267" s="517"/>
      <c r="E267" s="517"/>
      <c r="F267" s="517"/>
      <c r="G267" s="525"/>
      <c r="H267" s="525"/>
      <c r="I267" s="531"/>
      <c r="J267" s="543"/>
      <c r="K267" s="531"/>
      <c r="L267" s="867"/>
      <c r="M267" s="867"/>
      <c r="N267" s="867"/>
      <c r="O267" s="867"/>
      <c r="P267" s="867"/>
      <c r="Q267" s="867"/>
    </row>
    <row r="268" spans="1:17">
      <c r="A268" s="541"/>
      <c r="B268" s="534" t="s">
        <v>1714</v>
      </c>
      <c r="C268" s="517"/>
      <c r="D268" s="517"/>
      <c r="E268" s="517"/>
      <c r="F268" s="517"/>
      <c r="G268" s="525"/>
      <c r="H268" s="525"/>
      <c r="I268" s="531"/>
      <c r="J268" s="543"/>
      <c r="K268" s="531"/>
      <c r="L268" s="867"/>
      <c r="M268" s="867"/>
      <c r="N268" s="867"/>
      <c r="O268" s="867"/>
      <c r="P268" s="867"/>
      <c r="Q268" s="867"/>
    </row>
    <row r="269" spans="1:17">
      <c r="A269" s="541"/>
      <c r="B269" s="534" t="s">
        <v>1874</v>
      </c>
      <c r="C269" s="517"/>
      <c r="D269" s="517"/>
      <c r="E269" s="517"/>
      <c r="F269" s="517"/>
      <c r="G269" s="525"/>
      <c r="H269" s="525"/>
      <c r="I269" s="531"/>
      <c r="J269" s="543"/>
      <c r="K269" s="531"/>
      <c r="L269" s="867"/>
      <c r="M269" s="867"/>
      <c r="N269" s="867"/>
      <c r="O269" s="867"/>
      <c r="P269" s="867"/>
      <c r="Q269" s="867"/>
    </row>
    <row r="270" spans="1:17">
      <c r="A270" s="541"/>
      <c r="B270" s="534" t="s">
        <v>1875</v>
      </c>
      <c r="C270" s="517"/>
      <c r="D270" s="517"/>
      <c r="E270" s="517"/>
      <c r="F270" s="517"/>
      <c r="G270" s="525"/>
      <c r="H270" s="525"/>
      <c r="I270" s="531"/>
      <c r="J270" s="543"/>
      <c r="K270" s="531"/>
      <c r="L270" s="867"/>
      <c r="M270" s="867"/>
      <c r="N270" s="867"/>
      <c r="O270" s="867"/>
      <c r="P270" s="867"/>
      <c r="Q270" s="867"/>
    </row>
    <row r="271" spans="1:17">
      <c r="A271" s="541"/>
      <c r="B271" s="534" t="s">
        <v>1876</v>
      </c>
      <c r="C271" s="517"/>
      <c r="D271" s="517"/>
      <c r="E271" s="517"/>
      <c r="F271" s="517"/>
      <c r="G271" s="525"/>
      <c r="H271" s="525"/>
      <c r="I271" s="531"/>
      <c r="J271" s="543"/>
      <c r="K271" s="531"/>
      <c r="L271" s="867"/>
      <c r="M271" s="867"/>
      <c r="N271" s="867"/>
      <c r="O271" s="867"/>
      <c r="P271" s="867"/>
      <c r="Q271" s="867"/>
    </row>
    <row r="272" spans="1:17">
      <c r="A272" s="541"/>
      <c r="B272" s="534" t="s">
        <v>1877</v>
      </c>
      <c r="C272" s="517"/>
      <c r="D272" s="517"/>
      <c r="E272" s="517"/>
      <c r="F272" s="517"/>
      <c r="G272" s="525"/>
      <c r="H272" s="525"/>
      <c r="I272" s="531"/>
      <c r="J272" s="543"/>
      <c r="K272" s="531"/>
      <c r="L272" s="867"/>
      <c r="M272" s="867"/>
      <c r="N272" s="867"/>
      <c r="O272" s="867"/>
      <c r="P272" s="867"/>
      <c r="Q272" s="867"/>
    </row>
    <row r="273" spans="1:17">
      <c r="A273" s="523"/>
      <c r="B273" s="877"/>
      <c r="C273" s="529"/>
      <c r="D273" s="529"/>
      <c r="E273" s="529"/>
      <c r="F273" s="529"/>
      <c r="G273" s="528" t="s">
        <v>631</v>
      </c>
      <c r="H273" s="528">
        <v>1</v>
      </c>
      <c r="I273" s="553"/>
      <c r="J273" s="545"/>
      <c r="K273" s="531"/>
      <c r="L273" s="867"/>
      <c r="M273" s="867"/>
      <c r="N273" s="867"/>
      <c r="O273" s="867"/>
      <c r="P273" s="867"/>
      <c r="Q273" s="867"/>
    </row>
    <row r="274" spans="1:17">
      <c r="A274" s="541"/>
      <c r="B274" s="534"/>
      <c r="C274" s="517"/>
      <c r="D274" s="517"/>
      <c r="E274" s="517"/>
      <c r="F274" s="517"/>
      <c r="G274" s="525"/>
      <c r="H274" s="525"/>
      <c r="I274" s="531"/>
      <c r="J274" s="543"/>
      <c r="K274" s="531"/>
      <c r="L274" s="867"/>
      <c r="M274" s="867"/>
      <c r="N274" s="867"/>
      <c r="O274" s="867"/>
      <c r="P274" s="867"/>
      <c r="Q274" s="867"/>
    </row>
    <row r="275" spans="1:17">
      <c r="A275" s="541" t="s">
        <v>1</v>
      </c>
      <c r="B275" s="534" t="s">
        <v>1878</v>
      </c>
      <c r="C275" s="517"/>
      <c r="D275" s="517"/>
      <c r="E275" s="517"/>
      <c r="F275" s="517"/>
      <c r="G275" s="525"/>
      <c r="H275" s="525"/>
      <c r="I275" s="531"/>
      <c r="J275" s="542"/>
      <c r="K275" s="531"/>
      <c r="L275" s="867"/>
      <c r="M275" s="867"/>
      <c r="N275" s="867"/>
      <c r="O275" s="867"/>
      <c r="P275" s="867"/>
      <c r="Q275" s="867"/>
    </row>
    <row r="276" spans="1:17">
      <c r="A276" s="541"/>
      <c r="B276" s="534" t="s">
        <v>1879</v>
      </c>
      <c r="C276" s="517"/>
      <c r="D276" s="517"/>
      <c r="E276" s="517"/>
      <c r="F276" s="517"/>
      <c r="G276" s="525"/>
      <c r="H276" s="525"/>
      <c r="I276" s="531"/>
      <c r="J276" s="542"/>
      <c r="K276" s="531"/>
      <c r="L276" s="867"/>
      <c r="M276" s="867"/>
      <c r="N276" s="867"/>
      <c r="O276" s="867"/>
      <c r="P276" s="867"/>
      <c r="Q276" s="867"/>
    </row>
    <row r="277" spans="1:17">
      <c r="A277" s="541"/>
      <c r="B277" s="534" t="s">
        <v>1880</v>
      </c>
      <c r="C277" s="517"/>
      <c r="D277" s="517"/>
      <c r="E277" s="517"/>
      <c r="F277" s="517"/>
      <c r="G277" s="525"/>
      <c r="H277" s="525"/>
      <c r="I277" s="531"/>
      <c r="J277" s="542"/>
      <c r="K277" s="531"/>
      <c r="L277" s="867"/>
      <c r="M277" s="867"/>
      <c r="N277" s="867"/>
      <c r="O277" s="867"/>
      <c r="P277" s="867"/>
      <c r="Q277" s="867"/>
    </row>
    <row r="278" spans="1:17">
      <c r="A278" s="541"/>
      <c r="B278" s="534" t="s">
        <v>1881</v>
      </c>
      <c r="C278" s="517"/>
      <c r="D278" s="517"/>
      <c r="E278" s="517"/>
      <c r="F278" s="517"/>
      <c r="G278" s="525"/>
      <c r="H278" s="525"/>
      <c r="I278" s="531"/>
      <c r="J278" s="542"/>
      <c r="K278" s="531"/>
      <c r="L278" s="867"/>
      <c r="M278" s="867"/>
      <c r="N278" s="867"/>
      <c r="O278" s="867"/>
      <c r="P278" s="867"/>
      <c r="Q278" s="867"/>
    </row>
    <row r="279" spans="1:17">
      <c r="A279" s="541"/>
      <c r="B279" s="534" t="s">
        <v>1882</v>
      </c>
      <c r="C279" s="517"/>
      <c r="D279" s="517"/>
      <c r="E279" s="517"/>
      <c r="F279" s="517"/>
      <c r="G279" s="525"/>
      <c r="H279" s="525"/>
      <c r="I279" s="531"/>
      <c r="J279" s="542"/>
      <c r="K279" s="531"/>
      <c r="L279" s="867"/>
      <c r="M279" s="867"/>
      <c r="N279" s="867"/>
      <c r="O279" s="867"/>
      <c r="P279" s="867"/>
      <c r="Q279" s="867"/>
    </row>
    <row r="280" spans="1:17">
      <c r="A280" s="541"/>
      <c r="B280" s="534"/>
      <c r="C280" s="517"/>
      <c r="D280" s="517"/>
      <c r="E280" s="517"/>
      <c r="F280" s="517"/>
      <c r="G280" s="525"/>
      <c r="H280" s="525"/>
      <c r="I280" s="531"/>
      <c r="J280" s="542"/>
      <c r="K280" s="531"/>
      <c r="L280" s="867"/>
      <c r="M280" s="867"/>
      <c r="N280" s="867"/>
      <c r="O280" s="867"/>
      <c r="P280" s="867"/>
      <c r="Q280" s="867"/>
    </row>
    <row r="281" spans="1:17">
      <c r="A281" s="541"/>
      <c r="B281" s="534" t="s">
        <v>1883</v>
      </c>
      <c r="C281" s="517"/>
      <c r="D281" s="517"/>
      <c r="E281" s="517"/>
      <c r="F281" s="517"/>
      <c r="G281" s="525" t="s">
        <v>622</v>
      </c>
      <c r="H281" s="525">
        <v>2</v>
      </c>
      <c r="I281" s="531"/>
      <c r="J281" s="543"/>
      <c r="K281" s="531"/>
      <c r="L281" s="867"/>
      <c r="M281" s="867"/>
      <c r="N281" s="867"/>
      <c r="O281" s="867"/>
      <c r="P281" s="867"/>
      <c r="Q281" s="867"/>
    </row>
    <row r="282" spans="1:17">
      <c r="A282" s="523"/>
      <c r="B282" s="877" t="s">
        <v>1884</v>
      </c>
      <c r="C282" s="529"/>
      <c r="D282" s="529"/>
      <c r="E282" s="529"/>
      <c r="F282" s="529"/>
      <c r="G282" s="528" t="s">
        <v>622</v>
      </c>
      <c r="H282" s="528">
        <v>46</v>
      </c>
      <c r="I282" s="553"/>
      <c r="J282" s="545"/>
      <c r="K282" s="531"/>
      <c r="L282" s="867"/>
      <c r="M282" s="867"/>
      <c r="N282" s="867"/>
      <c r="O282" s="867"/>
      <c r="P282" s="867"/>
      <c r="Q282" s="867"/>
    </row>
    <row r="283" spans="1:17">
      <c r="A283" s="541"/>
      <c r="B283" s="534"/>
      <c r="C283" s="517"/>
      <c r="D283" s="517"/>
      <c r="E283" s="517"/>
      <c r="F283" s="517"/>
      <c r="G283" s="525"/>
      <c r="H283" s="525"/>
      <c r="I283" s="531"/>
      <c r="J283" s="543"/>
      <c r="K283" s="531"/>
      <c r="L283" s="867"/>
      <c r="M283" s="867"/>
      <c r="N283" s="867"/>
      <c r="O283" s="867"/>
      <c r="P283" s="867"/>
      <c r="Q283" s="867"/>
    </row>
    <row r="284" spans="1:17">
      <c r="A284" s="541" t="s">
        <v>2</v>
      </c>
      <c r="B284" s="534" t="s">
        <v>651</v>
      </c>
      <c r="C284" s="517"/>
      <c r="D284" s="517"/>
      <c r="E284" s="517"/>
      <c r="F284" s="517"/>
      <c r="G284" s="525"/>
      <c r="H284" s="525"/>
      <c r="I284" s="531"/>
      <c r="J284" s="542"/>
      <c r="K284" s="531"/>
      <c r="L284" s="867"/>
      <c r="M284" s="867"/>
      <c r="N284" s="867"/>
      <c r="O284" s="867"/>
      <c r="P284" s="867"/>
      <c r="Q284" s="867"/>
    </row>
    <row r="285" spans="1:17">
      <c r="A285" s="541"/>
      <c r="B285" s="534"/>
      <c r="C285" s="517"/>
      <c r="D285" s="517"/>
      <c r="E285" s="517"/>
      <c r="F285" s="517"/>
      <c r="G285" s="525"/>
      <c r="H285" s="525"/>
      <c r="I285" s="531"/>
      <c r="J285" s="542"/>
      <c r="K285" s="531"/>
      <c r="L285" s="867"/>
      <c r="M285" s="867"/>
      <c r="N285" s="867"/>
      <c r="O285" s="867"/>
      <c r="P285" s="867"/>
      <c r="Q285" s="867"/>
    </row>
    <row r="286" spans="1:17">
      <c r="A286" s="523"/>
      <c r="B286" s="877" t="s">
        <v>1954</v>
      </c>
      <c r="C286" s="529"/>
      <c r="D286" s="529"/>
      <c r="E286" s="529"/>
      <c r="F286" s="529"/>
      <c r="G286" s="528" t="s">
        <v>622</v>
      </c>
      <c r="H286" s="528">
        <v>16</v>
      </c>
      <c r="I286" s="553"/>
      <c r="J286" s="545"/>
      <c r="K286" s="531"/>
      <c r="L286" s="867"/>
      <c r="M286" s="867"/>
      <c r="N286" s="867"/>
      <c r="O286" s="867"/>
      <c r="P286" s="867"/>
      <c r="Q286" s="867"/>
    </row>
    <row r="287" spans="1:17">
      <c r="A287" s="541"/>
      <c r="B287" s="875"/>
      <c r="C287" s="517"/>
      <c r="D287" s="517"/>
      <c r="E287" s="517"/>
      <c r="F287" s="517"/>
      <c r="G287" s="525"/>
      <c r="H287" s="525"/>
      <c r="I287" s="531"/>
      <c r="J287" s="542"/>
      <c r="K287" s="531"/>
      <c r="L287" s="867"/>
      <c r="M287" s="867"/>
      <c r="N287" s="867"/>
      <c r="O287" s="867"/>
      <c r="P287" s="867"/>
      <c r="Q287" s="867"/>
    </row>
    <row r="288" spans="1:17">
      <c r="A288" s="541" t="s">
        <v>3</v>
      </c>
      <c r="B288" s="534" t="s">
        <v>1885</v>
      </c>
      <c r="C288" s="517"/>
      <c r="D288" s="517"/>
      <c r="E288" s="517"/>
      <c r="F288" s="517"/>
      <c r="G288" s="525"/>
      <c r="H288" s="525"/>
      <c r="I288" s="531"/>
      <c r="J288" s="542"/>
      <c r="K288" s="531"/>
      <c r="L288" s="867"/>
      <c r="M288" s="867"/>
      <c r="N288" s="867"/>
      <c r="O288" s="867"/>
      <c r="P288" s="867"/>
      <c r="Q288" s="867"/>
    </row>
    <row r="289" spans="1:17">
      <c r="A289" s="541"/>
      <c r="B289" s="534" t="s">
        <v>1886</v>
      </c>
      <c r="C289" s="517"/>
      <c r="D289" s="517"/>
      <c r="E289" s="517"/>
      <c r="F289" s="517"/>
      <c r="G289" s="525"/>
      <c r="H289" s="525"/>
      <c r="I289" s="531"/>
      <c r="J289" s="543"/>
      <c r="K289" s="531"/>
      <c r="L289" s="867"/>
      <c r="M289" s="867"/>
      <c r="N289" s="867"/>
      <c r="O289" s="867"/>
      <c r="P289" s="867"/>
      <c r="Q289" s="867"/>
    </row>
    <row r="290" spans="1:17">
      <c r="A290" s="541"/>
      <c r="B290" s="534"/>
      <c r="C290" s="517"/>
      <c r="D290" s="517"/>
      <c r="E290" s="517"/>
      <c r="F290" s="517"/>
      <c r="G290" s="525"/>
      <c r="H290" s="525"/>
      <c r="I290" s="531"/>
      <c r="J290" s="543"/>
      <c r="K290" s="531"/>
      <c r="L290" s="867"/>
      <c r="M290" s="867"/>
      <c r="N290" s="867"/>
      <c r="O290" s="867"/>
      <c r="P290" s="867"/>
      <c r="Q290" s="867"/>
    </row>
    <row r="291" spans="1:17">
      <c r="A291" s="541"/>
      <c r="B291" s="534" t="s">
        <v>1887</v>
      </c>
      <c r="C291" s="517"/>
      <c r="D291" s="517"/>
      <c r="E291" s="517"/>
      <c r="F291" s="517"/>
      <c r="G291" s="525" t="s">
        <v>622</v>
      </c>
      <c r="H291" s="525">
        <v>4</v>
      </c>
      <c r="I291" s="531"/>
      <c r="J291" s="543"/>
      <c r="K291" s="531"/>
      <c r="L291" s="867"/>
      <c r="M291" s="867"/>
      <c r="N291" s="867"/>
      <c r="O291" s="867"/>
      <c r="P291" s="867"/>
      <c r="Q291" s="867"/>
    </row>
    <row r="292" spans="1:17">
      <c r="A292" s="541"/>
      <c r="B292" s="534" t="s">
        <v>1888</v>
      </c>
      <c r="C292" s="517"/>
      <c r="D292" s="517"/>
      <c r="E292" s="517"/>
      <c r="F292" s="517"/>
      <c r="G292" s="525" t="s">
        <v>622</v>
      </c>
      <c r="H292" s="525">
        <v>2</v>
      </c>
      <c r="I292" s="531"/>
      <c r="J292" s="543"/>
      <c r="K292" s="531"/>
      <c r="L292" s="867"/>
      <c r="M292" s="867"/>
      <c r="N292" s="867"/>
      <c r="O292" s="867"/>
      <c r="P292" s="867"/>
      <c r="Q292" s="867"/>
    </row>
    <row r="293" spans="1:17">
      <c r="A293" s="523"/>
      <c r="B293" s="877" t="s">
        <v>1889</v>
      </c>
      <c r="C293" s="529"/>
      <c r="D293" s="529"/>
      <c r="E293" s="529"/>
      <c r="F293" s="529"/>
      <c r="G293" s="528" t="s">
        <v>622</v>
      </c>
      <c r="H293" s="528">
        <v>2</v>
      </c>
      <c r="I293" s="553"/>
      <c r="J293" s="545"/>
      <c r="K293" s="531"/>
      <c r="L293" s="867"/>
      <c r="M293" s="867"/>
      <c r="N293" s="867"/>
      <c r="O293" s="867"/>
      <c r="P293" s="867"/>
      <c r="Q293" s="867"/>
    </row>
    <row r="294" spans="1:17">
      <c r="A294" s="541"/>
      <c r="B294" s="534"/>
      <c r="C294" s="517"/>
      <c r="D294" s="517"/>
      <c r="E294" s="517"/>
      <c r="F294" s="517"/>
      <c r="G294" s="525"/>
      <c r="H294" s="525"/>
      <c r="I294" s="531"/>
      <c r="J294" s="542"/>
      <c r="K294" s="531"/>
      <c r="L294" s="867"/>
      <c r="M294" s="867"/>
      <c r="N294" s="867"/>
      <c r="O294" s="867"/>
      <c r="P294" s="867"/>
      <c r="Q294" s="867"/>
    </row>
    <row r="295" spans="1:17">
      <c r="A295" s="541" t="s">
        <v>4</v>
      </c>
      <c r="B295" s="534" t="s">
        <v>652</v>
      </c>
      <c r="C295" s="517"/>
      <c r="D295" s="517"/>
      <c r="E295" s="517"/>
      <c r="F295" s="517"/>
      <c r="G295" s="525"/>
      <c r="H295" s="525"/>
      <c r="I295" s="531"/>
      <c r="J295" s="542"/>
      <c r="K295" s="531"/>
      <c r="L295" s="867"/>
      <c r="M295" s="867"/>
      <c r="N295" s="867"/>
      <c r="O295" s="867"/>
      <c r="P295" s="867"/>
      <c r="Q295" s="867"/>
    </row>
    <row r="296" spans="1:17">
      <c r="A296" s="541"/>
      <c r="B296" s="534"/>
      <c r="C296" s="517"/>
      <c r="D296" s="517"/>
      <c r="E296" s="517"/>
      <c r="F296" s="517"/>
      <c r="G296" s="525"/>
      <c r="H296" s="525"/>
      <c r="I296" s="531"/>
      <c r="J296" s="543"/>
      <c r="K296" s="531"/>
      <c r="L296" s="867"/>
      <c r="M296" s="867"/>
      <c r="N296" s="867"/>
      <c r="O296" s="867"/>
      <c r="P296" s="867"/>
      <c r="Q296" s="867"/>
    </row>
    <row r="297" spans="1:17">
      <c r="A297" s="523"/>
      <c r="B297" s="877" t="s">
        <v>1954</v>
      </c>
      <c r="C297" s="529"/>
      <c r="D297" s="529"/>
      <c r="E297" s="529"/>
      <c r="F297" s="529"/>
      <c r="G297" s="528" t="s">
        <v>622</v>
      </c>
      <c r="H297" s="528">
        <v>1</v>
      </c>
      <c r="I297" s="553"/>
      <c r="J297" s="545"/>
      <c r="K297" s="531"/>
      <c r="L297" s="867"/>
      <c r="M297" s="867"/>
      <c r="N297" s="867"/>
      <c r="O297" s="867"/>
      <c r="P297" s="867"/>
      <c r="Q297" s="867"/>
    </row>
    <row r="298" spans="1:17">
      <c r="A298" s="541"/>
      <c r="B298" s="534"/>
      <c r="C298" s="517"/>
      <c r="D298" s="517"/>
      <c r="E298" s="517"/>
      <c r="F298" s="517"/>
      <c r="G298" s="525"/>
      <c r="H298" s="525"/>
      <c r="I298" s="531"/>
      <c r="J298" s="543"/>
      <c r="K298" s="531"/>
      <c r="L298" s="867"/>
      <c r="M298" s="867"/>
      <c r="N298" s="867"/>
      <c r="O298" s="867"/>
      <c r="P298" s="867"/>
      <c r="Q298" s="867"/>
    </row>
    <row r="299" spans="1:17">
      <c r="A299" s="541" t="s">
        <v>5</v>
      </c>
      <c r="B299" s="534" t="s">
        <v>653</v>
      </c>
      <c r="C299" s="517"/>
      <c r="D299" s="517"/>
      <c r="E299" s="517"/>
      <c r="F299" s="517"/>
      <c r="G299" s="525"/>
      <c r="H299" s="525"/>
      <c r="I299" s="531"/>
      <c r="J299" s="542"/>
      <c r="K299" s="531"/>
      <c r="L299" s="867"/>
      <c r="M299" s="867"/>
      <c r="N299" s="867"/>
      <c r="O299" s="867"/>
      <c r="P299" s="867"/>
      <c r="Q299" s="867"/>
    </row>
    <row r="300" spans="1:17">
      <c r="A300" s="541"/>
      <c r="B300" s="534" t="s">
        <v>654</v>
      </c>
      <c r="C300" s="517"/>
      <c r="D300" s="517"/>
      <c r="E300" s="517"/>
      <c r="F300" s="517"/>
      <c r="G300" s="525"/>
      <c r="H300" s="525"/>
      <c r="I300" s="531"/>
      <c r="J300" s="543"/>
      <c r="K300" s="531"/>
      <c r="L300" s="867"/>
      <c r="M300" s="867"/>
      <c r="N300" s="867"/>
      <c r="O300" s="867"/>
      <c r="P300" s="867"/>
      <c r="Q300" s="867"/>
    </row>
    <row r="301" spans="1:17">
      <c r="A301" s="541"/>
      <c r="B301" s="534" t="s">
        <v>655</v>
      </c>
      <c r="C301" s="517"/>
      <c r="D301" s="517"/>
      <c r="E301" s="517"/>
      <c r="F301" s="517"/>
      <c r="G301" s="525"/>
      <c r="H301" s="525"/>
      <c r="I301" s="531"/>
      <c r="J301" s="543"/>
      <c r="K301" s="531"/>
      <c r="L301" s="867"/>
      <c r="M301" s="867"/>
      <c r="N301" s="867"/>
      <c r="O301" s="867"/>
      <c r="P301" s="867"/>
      <c r="Q301" s="867"/>
    </row>
    <row r="302" spans="1:17">
      <c r="A302" s="523"/>
      <c r="B302" s="877" t="s">
        <v>1715</v>
      </c>
      <c r="C302" s="529"/>
      <c r="D302" s="529"/>
      <c r="E302" s="529"/>
      <c r="F302" s="529"/>
      <c r="G302" s="528" t="s">
        <v>622</v>
      </c>
      <c r="H302" s="528">
        <v>22</v>
      </c>
      <c r="I302" s="553"/>
      <c r="J302" s="887"/>
      <c r="K302" s="531"/>
      <c r="L302" s="867"/>
      <c r="M302" s="867"/>
      <c r="N302" s="867"/>
      <c r="O302" s="867"/>
      <c r="P302" s="867"/>
      <c r="Q302" s="867"/>
    </row>
    <row r="303" spans="1:17">
      <c r="A303" s="541"/>
      <c r="B303" s="534"/>
      <c r="C303" s="517"/>
      <c r="D303" s="517"/>
      <c r="E303" s="517"/>
      <c r="F303" s="517"/>
      <c r="G303" s="525"/>
      <c r="H303" s="525"/>
      <c r="I303" s="531"/>
      <c r="J303" s="543"/>
      <c r="K303" s="531"/>
      <c r="L303" s="867"/>
      <c r="M303" s="867"/>
      <c r="N303" s="867"/>
      <c r="O303" s="867"/>
      <c r="P303" s="867"/>
      <c r="Q303" s="867"/>
    </row>
    <row r="304" spans="1:17">
      <c r="A304" s="541" t="s">
        <v>6</v>
      </c>
      <c r="B304" s="534" t="s">
        <v>656</v>
      </c>
      <c r="C304" s="517"/>
      <c r="D304" s="517"/>
      <c r="E304" s="517"/>
      <c r="F304" s="517"/>
      <c r="G304" s="525"/>
      <c r="H304" s="525"/>
      <c r="I304" s="531"/>
      <c r="J304" s="542"/>
      <c r="K304" s="531"/>
      <c r="L304" s="867"/>
      <c r="M304" s="867"/>
      <c r="N304" s="867"/>
      <c r="O304" s="867"/>
      <c r="P304" s="867"/>
      <c r="Q304" s="867"/>
    </row>
    <row r="305" spans="1:17">
      <c r="A305" s="541"/>
      <c r="B305" s="534" t="s">
        <v>657</v>
      </c>
      <c r="C305" s="517"/>
      <c r="D305" s="517"/>
      <c r="E305" s="517"/>
      <c r="F305" s="517"/>
      <c r="G305" s="525"/>
      <c r="H305" s="525"/>
      <c r="I305" s="531"/>
      <c r="J305" s="542"/>
      <c r="K305" s="531"/>
      <c r="L305" s="867"/>
      <c r="M305" s="867"/>
      <c r="N305" s="867"/>
      <c r="O305" s="867"/>
      <c r="P305" s="867"/>
      <c r="Q305" s="867"/>
    </row>
    <row r="306" spans="1:17">
      <c r="A306" s="541"/>
      <c r="B306" s="534" t="s">
        <v>658</v>
      </c>
      <c r="C306" s="517"/>
      <c r="D306" s="517"/>
      <c r="E306" s="517"/>
      <c r="F306" s="517"/>
      <c r="G306" s="525"/>
      <c r="H306" s="525"/>
      <c r="I306" s="531"/>
      <c r="J306" s="543"/>
      <c r="K306" s="531"/>
      <c r="L306" s="867"/>
      <c r="M306" s="867"/>
      <c r="N306" s="867"/>
      <c r="O306" s="867"/>
      <c r="P306" s="867"/>
      <c r="Q306" s="867"/>
    </row>
    <row r="307" spans="1:17">
      <c r="A307" s="523"/>
      <c r="B307" s="877"/>
      <c r="C307" s="529" t="s">
        <v>659</v>
      </c>
      <c r="D307" s="529"/>
      <c r="E307" s="529"/>
      <c r="F307" s="529"/>
      <c r="G307" s="528" t="s">
        <v>642</v>
      </c>
      <c r="H307" s="528">
        <v>275</v>
      </c>
      <c r="I307" s="553"/>
      <c r="J307" s="545"/>
      <c r="K307" s="531"/>
      <c r="L307" s="867"/>
      <c r="M307" s="867"/>
      <c r="N307" s="867"/>
      <c r="O307" s="867"/>
      <c r="P307" s="867"/>
      <c r="Q307" s="867"/>
    </row>
    <row r="308" spans="1:17">
      <c r="A308" s="541"/>
      <c r="B308" s="534"/>
      <c r="C308" s="517"/>
      <c r="D308" s="517"/>
      <c r="E308" s="517"/>
      <c r="F308" s="517"/>
      <c r="G308" s="525"/>
      <c r="H308" s="525"/>
      <c r="I308" s="531"/>
      <c r="J308" s="543"/>
      <c r="K308" s="531"/>
      <c r="L308" s="868">
        <v>108625</v>
      </c>
      <c r="M308" s="867"/>
      <c r="N308" s="867"/>
      <c r="O308" s="867"/>
      <c r="P308" s="867"/>
      <c r="Q308" s="867"/>
    </row>
    <row r="309" spans="1:17">
      <c r="A309" s="541" t="s">
        <v>7</v>
      </c>
      <c r="B309" s="534" t="s">
        <v>660</v>
      </c>
      <c r="C309" s="517"/>
      <c r="D309" s="517"/>
      <c r="E309" s="517"/>
      <c r="F309" s="517"/>
      <c r="G309" s="525"/>
      <c r="H309" s="525"/>
      <c r="I309" s="531"/>
      <c r="J309" s="542"/>
      <c r="K309" s="531"/>
      <c r="L309" s="867"/>
      <c r="M309" s="867"/>
      <c r="N309" s="867"/>
      <c r="O309" s="867"/>
      <c r="P309" s="867"/>
      <c r="Q309" s="867"/>
    </row>
    <row r="310" spans="1:17">
      <c r="A310" s="541"/>
      <c r="B310" s="534" t="s">
        <v>661</v>
      </c>
      <c r="C310" s="517"/>
      <c r="D310" s="517"/>
      <c r="E310" s="517"/>
      <c r="F310" s="517"/>
      <c r="G310" s="525"/>
      <c r="H310" s="525"/>
      <c r="I310" s="531"/>
      <c r="J310" s="543"/>
      <c r="K310" s="531"/>
      <c r="L310" s="867"/>
      <c r="M310" s="867"/>
      <c r="N310" s="867"/>
      <c r="O310" s="867"/>
      <c r="P310" s="867"/>
      <c r="Q310" s="867"/>
    </row>
    <row r="311" spans="1:17">
      <c r="A311" s="523"/>
      <c r="B311" s="877"/>
      <c r="C311" s="529"/>
      <c r="D311" s="529"/>
      <c r="E311" s="529"/>
      <c r="F311" s="529"/>
      <c r="G311" s="528"/>
      <c r="H311" s="528">
        <v>0.5</v>
      </c>
      <c r="I311" s="553"/>
      <c r="J311" s="545"/>
      <c r="K311" s="531"/>
      <c r="L311" s="867"/>
      <c r="M311" s="867"/>
      <c r="N311" s="867"/>
      <c r="O311" s="867"/>
      <c r="P311" s="867"/>
      <c r="Q311" s="867"/>
    </row>
    <row r="312" spans="1:17">
      <c r="A312" s="541"/>
      <c r="B312" s="534"/>
      <c r="C312" s="517"/>
      <c r="D312" s="517"/>
      <c r="E312" s="517"/>
      <c r="F312" s="517"/>
      <c r="G312" s="525"/>
      <c r="H312" s="525"/>
      <c r="I312" s="531"/>
      <c r="J312" s="542"/>
      <c r="K312" s="531"/>
      <c r="L312" s="867"/>
      <c r="M312" s="867"/>
      <c r="N312" s="867"/>
      <c r="O312" s="867"/>
      <c r="P312" s="867"/>
      <c r="Q312" s="867"/>
    </row>
    <row r="313" spans="1:17">
      <c r="A313" s="541" t="s">
        <v>74</v>
      </c>
      <c r="B313" s="534" t="s">
        <v>662</v>
      </c>
      <c r="C313" s="517"/>
      <c r="D313" s="517"/>
      <c r="E313" s="517"/>
      <c r="F313" s="517"/>
      <c r="G313" s="525"/>
      <c r="H313" s="525"/>
      <c r="I313" s="531"/>
      <c r="J313" s="542"/>
      <c r="K313" s="531"/>
      <c r="L313" s="867"/>
      <c r="M313" s="867"/>
      <c r="N313" s="867"/>
      <c r="O313" s="867"/>
      <c r="P313" s="867"/>
      <c r="Q313" s="867"/>
    </row>
    <row r="314" spans="1:17">
      <c r="A314" s="541"/>
      <c r="B314" s="534" t="s">
        <v>663</v>
      </c>
      <c r="C314" s="517"/>
      <c r="D314" s="517"/>
      <c r="E314" s="517"/>
      <c r="F314" s="517"/>
      <c r="G314" s="525"/>
      <c r="H314" s="525"/>
      <c r="I314" s="531"/>
      <c r="J314" s="542"/>
      <c r="K314" s="531"/>
      <c r="L314" s="867"/>
      <c r="M314" s="867"/>
      <c r="N314" s="867"/>
      <c r="O314" s="867"/>
      <c r="P314" s="867"/>
      <c r="Q314" s="867"/>
    </row>
    <row r="315" spans="1:17">
      <c r="A315" s="523"/>
      <c r="B315" s="877"/>
      <c r="C315" s="529"/>
      <c r="D315" s="529"/>
      <c r="E315" s="529"/>
      <c r="F315" s="529"/>
      <c r="G315" s="528" t="s">
        <v>399</v>
      </c>
      <c r="H315" s="528">
        <v>200</v>
      </c>
      <c r="I315" s="553"/>
      <c r="J315" s="545"/>
      <c r="K315" s="531"/>
      <c r="L315" s="867"/>
      <c r="M315" s="867"/>
      <c r="N315" s="867"/>
      <c r="O315" s="867"/>
      <c r="P315" s="867"/>
      <c r="Q315" s="867"/>
    </row>
    <row r="316" spans="1:17">
      <c r="A316" s="541"/>
      <c r="B316" s="534"/>
      <c r="C316" s="517"/>
      <c r="D316" s="517"/>
      <c r="E316" s="517"/>
      <c r="F316" s="517"/>
      <c r="G316" s="525"/>
      <c r="H316" s="525"/>
      <c r="I316" s="531"/>
      <c r="J316" s="543"/>
      <c r="K316" s="531"/>
      <c r="L316" s="868"/>
      <c r="M316" s="867"/>
      <c r="N316" s="867"/>
      <c r="O316" s="867"/>
      <c r="P316" s="867"/>
      <c r="Q316" s="867"/>
    </row>
    <row r="317" spans="1:17">
      <c r="A317" s="541" t="s">
        <v>77</v>
      </c>
      <c r="B317" s="534" t="s">
        <v>664</v>
      </c>
      <c r="C317" s="517"/>
      <c r="D317" s="517"/>
      <c r="E317" s="517"/>
      <c r="F317" s="517"/>
      <c r="G317" s="525"/>
      <c r="H317" s="525"/>
      <c r="I317" s="531"/>
      <c r="J317" s="542"/>
      <c r="K317" s="531" t="s">
        <v>375</v>
      </c>
      <c r="L317" s="867" t="s">
        <v>376</v>
      </c>
      <c r="M317" s="867"/>
      <c r="N317" s="867" t="s">
        <v>377</v>
      </c>
      <c r="O317" s="867"/>
      <c r="P317" s="900"/>
      <c r="Q317" s="900"/>
    </row>
    <row r="318" spans="1:17">
      <c r="A318" s="541"/>
      <c r="B318" s="534" t="s">
        <v>665</v>
      </c>
      <c r="C318" s="517"/>
      <c r="D318" s="517"/>
      <c r="E318" s="517"/>
      <c r="F318" s="517"/>
      <c r="G318" s="525"/>
      <c r="H318" s="525"/>
      <c r="I318" s="531"/>
      <c r="J318" s="542"/>
      <c r="K318" s="531"/>
      <c r="L318" s="867"/>
      <c r="M318" s="867"/>
      <c r="N318" s="867"/>
      <c r="O318" s="867"/>
      <c r="P318" s="900"/>
      <c r="Q318" s="900"/>
    </row>
    <row r="319" spans="1:17">
      <c r="A319" s="541"/>
      <c r="B319" s="525" t="s">
        <v>361</v>
      </c>
      <c r="C319" s="517">
        <v>80</v>
      </c>
      <c r="D319" s="517" t="s">
        <v>109</v>
      </c>
      <c r="E319" s="517"/>
      <c r="F319" s="517"/>
      <c r="G319" s="525" t="s">
        <v>666</v>
      </c>
      <c r="H319" s="525">
        <v>101.6</v>
      </c>
      <c r="I319" s="531"/>
      <c r="J319" s="542"/>
      <c r="K319" s="531">
        <v>1.27</v>
      </c>
      <c r="L319" s="867">
        <v>0.31400000000000006</v>
      </c>
      <c r="M319" s="867"/>
      <c r="N319" s="867">
        <v>25.120000000000005</v>
      </c>
      <c r="O319" s="867"/>
      <c r="P319" s="900"/>
      <c r="Q319" s="900"/>
    </row>
    <row r="320" spans="1:17">
      <c r="A320" s="541"/>
      <c r="B320" s="525" t="s">
        <v>362</v>
      </c>
      <c r="C320" s="517">
        <v>15</v>
      </c>
      <c r="D320" s="517" t="s">
        <v>109</v>
      </c>
      <c r="E320" s="517"/>
      <c r="F320" s="517"/>
      <c r="G320" s="525" t="s">
        <v>666</v>
      </c>
      <c r="H320" s="525">
        <v>28.349999999999998</v>
      </c>
      <c r="I320" s="531"/>
      <c r="J320" s="542"/>
      <c r="K320" s="531">
        <v>1.89</v>
      </c>
      <c r="L320" s="867">
        <v>0.47099999999999997</v>
      </c>
      <c r="M320" s="867"/>
      <c r="N320" s="867">
        <v>7.0649999999999995</v>
      </c>
      <c r="O320" s="867"/>
      <c r="P320" s="900"/>
      <c r="Q320" s="900"/>
    </row>
    <row r="321" spans="1:17">
      <c r="A321" s="523"/>
      <c r="B321" s="528" t="s">
        <v>363</v>
      </c>
      <c r="C321" s="529">
        <v>350</v>
      </c>
      <c r="D321" s="529" t="s">
        <v>109</v>
      </c>
      <c r="E321" s="529"/>
      <c r="F321" s="529"/>
      <c r="G321" s="528" t="s">
        <v>666</v>
      </c>
      <c r="H321" s="528">
        <v>1113</v>
      </c>
      <c r="I321" s="553"/>
      <c r="J321" s="887"/>
      <c r="K321" s="531">
        <v>3.18</v>
      </c>
      <c r="L321" s="867">
        <v>0.78500000000000003</v>
      </c>
      <c r="M321" s="867"/>
      <c r="N321" s="867">
        <v>274.75</v>
      </c>
      <c r="O321" s="867"/>
      <c r="P321" s="900"/>
      <c r="Q321" s="900"/>
    </row>
    <row r="322" spans="1:17">
      <c r="A322" s="541"/>
      <c r="B322" s="534"/>
      <c r="C322" s="517"/>
      <c r="D322" s="517"/>
      <c r="E322" s="517"/>
      <c r="F322" s="517"/>
      <c r="G322" s="525"/>
      <c r="H322" s="525"/>
      <c r="I322" s="531"/>
      <c r="J322" s="543"/>
      <c r="K322" s="531"/>
      <c r="L322" s="868"/>
      <c r="M322" s="867"/>
      <c r="N322" s="867"/>
      <c r="O322" s="867"/>
      <c r="P322" s="867"/>
      <c r="Q322" s="867"/>
    </row>
    <row r="323" spans="1:17">
      <c r="A323" s="541" t="s">
        <v>78</v>
      </c>
      <c r="B323" s="534" t="s">
        <v>667</v>
      </c>
      <c r="C323" s="517"/>
      <c r="D323" s="517"/>
      <c r="E323" s="517"/>
      <c r="F323" s="517"/>
      <c r="G323" s="525"/>
      <c r="H323" s="525"/>
      <c r="I323" s="531"/>
      <c r="J323" s="542"/>
      <c r="K323" s="531" t="s">
        <v>378</v>
      </c>
      <c r="L323" s="867"/>
      <c r="M323" s="867"/>
      <c r="N323" s="867"/>
      <c r="O323" s="867"/>
      <c r="P323" s="900"/>
      <c r="Q323" s="900"/>
    </row>
    <row r="324" spans="1:17">
      <c r="A324" s="523"/>
      <c r="B324" s="528" t="s">
        <v>364</v>
      </c>
      <c r="C324" s="529" t="s">
        <v>8</v>
      </c>
      <c r="D324" s="529">
        <v>2</v>
      </c>
      <c r="E324" s="529"/>
      <c r="F324" s="529"/>
      <c r="G324" s="528" t="s">
        <v>666</v>
      </c>
      <c r="H324" s="528">
        <v>1.74</v>
      </c>
      <c r="I324" s="553"/>
      <c r="J324" s="887"/>
      <c r="K324" s="531">
        <v>0.87</v>
      </c>
      <c r="L324" s="867"/>
      <c r="M324" s="867"/>
      <c r="N324" s="867"/>
      <c r="O324" s="867"/>
      <c r="P324" s="900"/>
      <c r="Q324" s="900"/>
    </row>
    <row r="325" spans="1:17">
      <c r="A325" s="541"/>
      <c r="B325" s="534"/>
      <c r="C325" s="517"/>
      <c r="D325" s="517"/>
      <c r="E325" s="517"/>
      <c r="F325" s="517"/>
      <c r="G325" s="525"/>
      <c r="H325" s="525"/>
      <c r="I325" s="531"/>
      <c r="J325" s="543"/>
      <c r="K325" s="531"/>
      <c r="L325" s="868"/>
      <c r="M325" s="867"/>
      <c r="N325" s="867"/>
      <c r="O325" s="867"/>
      <c r="P325" s="867"/>
      <c r="Q325" s="867"/>
    </row>
    <row r="326" spans="1:17">
      <c r="A326" s="541" t="s">
        <v>79</v>
      </c>
      <c r="B326" s="534" t="s">
        <v>668</v>
      </c>
      <c r="C326" s="517"/>
      <c r="D326" s="517"/>
      <c r="E326" s="517"/>
      <c r="F326" s="517"/>
      <c r="G326" s="525"/>
      <c r="H326" s="525"/>
      <c r="I326" s="531"/>
      <c r="J326" s="542"/>
      <c r="K326" s="531"/>
      <c r="L326" s="867"/>
      <c r="M326" s="867"/>
      <c r="N326" s="867"/>
      <c r="O326" s="867"/>
      <c r="P326" s="900"/>
      <c r="Q326" s="900"/>
    </row>
    <row r="327" spans="1:17">
      <c r="A327" s="541"/>
      <c r="B327" s="525" t="s">
        <v>365</v>
      </c>
      <c r="C327" s="517" t="s">
        <v>8</v>
      </c>
      <c r="D327" s="517">
        <v>8</v>
      </c>
      <c r="E327" s="517"/>
      <c r="F327" s="517"/>
      <c r="G327" s="525" t="s">
        <v>666</v>
      </c>
      <c r="H327" s="525">
        <v>13.2</v>
      </c>
      <c r="I327" s="531"/>
      <c r="J327" s="542"/>
      <c r="K327" s="531">
        <v>1.65</v>
      </c>
      <c r="L327" s="867"/>
      <c r="M327" s="867"/>
      <c r="N327" s="867"/>
      <c r="O327" s="867"/>
      <c r="P327" s="900"/>
      <c r="Q327" s="900"/>
    </row>
    <row r="328" spans="1:17">
      <c r="A328" s="523"/>
      <c r="B328" s="528" t="s">
        <v>366</v>
      </c>
      <c r="C328" s="529" t="s">
        <v>8</v>
      </c>
      <c r="D328" s="529">
        <v>9</v>
      </c>
      <c r="E328" s="529"/>
      <c r="F328" s="529"/>
      <c r="G328" s="528" t="s">
        <v>666</v>
      </c>
      <c r="H328" s="528">
        <v>3.15</v>
      </c>
      <c r="I328" s="553"/>
      <c r="J328" s="887"/>
      <c r="K328" s="531">
        <v>0.35</v>
      </c>
      <c r="L328" s="867"/>
      <c r="M328" s="867"/>
      <c r="N328" s="867"/>
      <c r="O328" s="867"/>
      <c r="P328" s="900"/>
      <c r="Q328" s="900"/>
    </row>
    <row r="329" spans="1:17">
      <c r="A329" s="541"/>
      <c r="B329" s="525"/>
      <c r="C329" s="517"/>
      <c r="D329" s="517"/>
      <c r="E329" s="517"/>
      <c r="F329" s="517"/>
      <c r="G329" s="525"/>
      <c r="H329" s="525"/>
      <c r="I329" s="531"/>
      <c r="J329" s="542"/>
      <c r="K329" s="531"/>
      <c r="L329" s="867"/>
      <c r="M329" s="867"/>
      <c r="N329" s="867"/>
      <c r="O329" s="867"/>
      <c r="P329" s="900"/>
      <c r="Q329" s="900"/>
    </row>
    <row r="330" spans="1:17">
      <c r="A330" s="541" t="s">
        <v>80</v>
      </c>
      <c r="B330" s="534" t="s">
        <v>1695</v>
      </c>
      <c r="C330" s="517"/>
      <c r="D330" s="517"/>
      <c r="E330" s="517"/>
      <c r="F330" s="517"/>
      <c r="G330" s="525"/>
      <c r="H330" s="525"/>
      <c r="I330" s="531"/>
      <c r="J330" s="542"/>
      <c r="K330" s="531"/>
      <c r="L330" s="867"/>
      <c r="M330" s="867"/>
      <c r="N330" s="867"/>
      <c r="O330" s="867"/>
      <c r="P330" s="900"/>
      <c r="Q330" s="900"/>
    </row>
    <row r="331" spans="1:17">
      <c r="A331" s="523"/>
      <c r="B331" s="528" t="s">
        <v>365</v>
      </c>
      <c r="C331" s="529" t="s">
        <v>8</v>
      </c>
      <c r="D331" s="529">
        <v>1</v>
      </c>
      <c r="E331" s="529"/>
      <c r="F331" s="529"/>
      <c r="G331" s="528" t="s">
        <v>666</v>
      </c>
      <c r="H331" s="528">
        <v>1.78</v>
      </c>
      <c r="I331" s="553"/>
      <c r="J331" s="887"/>
      <c r="K331" s="531">
        <v>1.78</v>
      </c>
      <c r="L331" s="867"/>
      <c r="M331" s="867"/>
      <c r="N331" s="867"/>
      <c r="O331" s="867"/>
      <c r="P331" s="900"/>
      <c r="Q331" s="900"/>
    </row>
    <row r="332" spans="1:17">
      <c r="A332" s="541"/>
      <c r="B332" s="525"/>
      <c r="C332" s="517"/>
      <c r="D332" s="517"/>
      <c r="E332" s="517"/>
      <c r="F332" s="517"/>
      <c r="G332" s="525"/>
      <c r="H332" s="525"/>
      <c r="I332" s="531"/>
      <c r="J332" s="542"/>
      <c r="K332" s="531"/>
      <c r="L332" s="867"/>
      <c r="M332" s="867"/>
      <c r="N332" s="867"/>
      <c r="O332" s="867"/>
      <c r="P332" s="900"/>
      <c r="Q332" s="900"/>
    </row>
    <row r="333" spans="1:17">
      <c r="A333" s="541" t="s">
        <v>95</v>
      </c>
      <c r="B333" s="534" t="s">
        <v>669</v>
      </c>
      <c r="C333" s="517"/>
      <c r="D333" s="517"/>
      <c r="E333" s="517"/>
      <c r="F333" s="517"/>
      <c r="G333" s="525"/>
      <c r="H333" s="525"/>
      <c r="I333" s="531"/>
      <c r="J333" s="542"/>
      <c r="K333" s="531"/>
      <c r="L333" s="867"/>
      <c r="M333" s="867"/>
      <c r="N333" s="867"/>
      <c r="O333" s="867"/>
      <c r="P333" s="900"/>
      <c r="Q333" s="900"/>
    </row>
    <row r="334" spans="1:17">
      <c r="A334" s="541"/>
      <c r="B334" s="525" t="s">
        <v>361</v>
      </c>
      <c r="C334" s="517" t="s">
        <v>8</v>
      </c>
      <c r="D334" s="517">
        <v>35</v>
      </c>
      <c r="E334" s="517"/>
      <c r="F334" s="517"/>
      <c r="G334" s="525" t="s">
        <v>666</v>
      </c>
      <c r="H334" s="525">
        <v>10.85</v>
      </c>
      <c r="I334" s="531"/>
      <c r="J334" s="542"/>
      <c r="K334" s="531">
        <v>0.31</v>
      </c>
      <c r="L334" s="867"/>
      <c r="M334" s="867"/>
      <c r="N334" s="867"/>
      <c r="O334" s="867"/>
      <c r="P334" s="900"/>
      <c r="Q334" s="900"/>
    </row>
    <row r="335" spans="1:17">
      <c r="A335" s="523"/>
      <c r="B335" s="528" t="s">
        <v>363</v>
      </c>
      <c r="C335" s="529" t="s">
        <v>8</v>
      </c>
      <c r="D335" s="529">
        <v>69</v>
      </c>
      <c r="E335" s="529"/>
      <c r="F335" s="529"/>
      <c r="G335" s="528" t="s">
        <v>666</v>
      </c>
      <c r="H335" s="528">
        <v>113.16</v>
      </c>
      <c r="I335" s="553"/>
      <c r="J335" s="887"/>
      <c r="K335" s="531">
        <v>1.64</v>
      </c>
      <c r="L335" s="867"/>
      <c r="M335" s="867"/>
      <c r="N335" s="867"/>
      <c r="O335" s="867"/>
      <c r="P335" s="900"/>
      <c r="Q335" s="900"/>
    </row>
    <row r="336" spans="1:17">
      <c r="A336" s="541"/>
      <c r="B336" s="525"/>
      <c r="C336" s="517"/>
      <c r="D336" s="517"/>
      <c r="E336" s="517"/>
      <c r="F336" s="517"/>
      <c r="G336" s="525"/>
      <c r="H336" s="525"/>
      <c r="I336" s="531"/>
      <c r="J336" s="542"/>
      <c r="K336" s="531"/>
      <c r="L336" s="867"/>
      <c r="M336" s="867"/>
      <c r="N336" s="867"/>
      <c r="O336" s="867"/>
      <c r="P336" s="900"/>
      <c r="Q336" s="900"/>
    </row>
    <row r="337" spans="1:17">
      <c r="A337" s="541" t="s">
        <v>367</v>
      </c>
      <c r="B337" s="534" t="s">
        <v>670</v>
      </c>
      <c r="C337" s="517"/>
      <c r="D337" s="517"/>
      <c r="E337" s="517"/>
      <c r="F337" s="517"/>
      <c r="G337" s="525"/>
      <c r="H337" s="525"/>
      <c r="I337" s="531"/>
      <c r="J337" s="542"/>
      <c r="K337" s="531"/>
      <c r="L337" s="867"/>
      <c r="M337" s="867"/>
      <c r="N337" s="867"/>
      <c r="O337" s="867"/>
      <c r="P337" s="900"/>
      <c r="Q337" s="900"/>
    </row>
    <row r="338" spans="1:17">
      <c r="A338" s="523"/>
      <c r="B338" s="528" t="s">
        <v>361</v>
      </c>
      <c r="C338" s="529" t="s">
        <v>8</v>
      </c>
      <c r="D338" s="529">
        <v>6</v>
      </c>
      <c r="E338" s="529"/>
      <c r="F338" s="529"/>
      <c r="G338" s="528" t="s">
        <v>666</v>
      </c>
      <c r="H338" s="528">
        <v>1.26</v>
      </c>
      <c r="I338" s="553"/>
      <c r="J338" s="887"/>
      <c r="K338" s="531">
        <v>0.21</v>
      </c>
      <c r="L338" s="867"/>
      <c r="M338" s="867"/>
      <c r="N338" s="867"/>
      <c r="O338" s="867"/>
      <c r="P338" s="900"/>
      <c r="Q338" s="900"/>
    </row>
    <row r="339" spans="1:17">
      <c r="A339" s="541"/>
      <c r="B339" s="525"/>
      <c r="C339" s="517"/>
      <c r="D339" s="517"/>
      <c r="E339" s="517"/>
      <c r="F339" s="517"/>
      <c r="G339" s="525"/>
      <c r="H339" s="525"/>
      <c r="I339" s="531"/>
      <c r="J339" s="542"/>
      <c r="K339" s="531"/>
      <c r="L339" s="867"/>
      <c r="M339" s="867"/>
      <c r="N339" s="867"/>
      <c r="O339" s="867"/>
      <c r="P339" s="900"/>
      <c r="Q339" s="900"/>
    </row>
    <row r="340" spans="1:17">
      <c r="A340" s="541" t="s">
        <v>368</v>
      </c>
      <c r="B340" s="534" t="s">
        <v>671</v>
      </c>
      <c r="C340" s="517"/>
      <c r="D340" s="517"/>
      <c r="E340" s="517"/>
      <c r="F340" s="517"/>
      <c r="G340" s="525"/>
      <c r="H340" s="525"/>
      <c r="I340" s="531"/>
      <c r="J340" s="542"/>
      <c r="K340" s="531"/>
      <c r="L340" s="867"/>
      <c r="M340" s="867"/>
      <c r="N340" s="867"/>
      <c r="O340" s="867"/>
      <c r="P340" s="900"/>
      <c r="Q340" s="900"/>
    </row>
    <row r="341" spans="1:17">
      <c r="A341" s="541"/>
      <c r="B341" s="534" t="s">
        <v>672</v>
      </c>
      <c r="C341" s="517"/>
      <c r="D341" s="517"/>
      <c r="E341" s="517"/>
      <c r="F341" s="517"/>
      <c r="G341" s="525"/>
      <c r="H341" s="525"/>
      <c r="I341" s="531"/>
      <c r="J341" s="542"/>
      <c r="K341" s="531"/>
      <c r="L341" s="867"/>
      <c r="M341" s="867"/>
      <c r="N341" s="867"/>
      <c r="O341" s="867"/>
      <c r="P341" s="900"/>
      <c r="Q341" s="900"/>
    </row>
    <row r="342" spans="1:17">
      <c r="A342" s="541"/>
      <c r="B342" s="534" t="s">
        <v>673</v>
      </c>
      <c r="C342" s="517"/>
      <c r="D342" s="517"/>
      <c r="E342" s="517"/>
      <c r="F342" s="517"/>
      <c r="G342" s="525"/>
      <c r="H342" s="525"/>
      <c r="I342" s="531"/>
      <c r="J342" s="542"/>
      <c r="K342" s="531"/>
      <c r="L342" s="867"/>
      <c r="M342" s="867"/>
      <c r="N342" s="867"/>
      <c r="O342" s="867"/>
      <c r="P342" s="900"/>
      <c r="Q342" s="900"/>
    </row>
    <row r="343" spans="1:17">
      <c r="A343" s="523"/>
      <c r="B343" s="877"/>
      <c r="C343" s="529"/>
      <c r="D343" s="529"/>
      <c r="E343" s="529"/>
      <c r="F343" s="529"/>
      <c r="G343" s="528">
        <v>0.2</v>
      </c>
      <c r="H343" s="528">
        <v>1388.0900000000001</v>
      </c>
      <c r="I343" s="553"/>
      <c r="J343" s="887"/>
      <c r="K343" s="531"/>
      <c r="L343" s="867"/>
      <c r="M343" s="867"/>
      <c r="N343" s="867"/>
      <c r="O343" s="867"/>
      <c r="P343" s="900"/>
      <c r="Q343" s="900"/>
    </row>
    <row r="344" spans="1:17">
      <c r="A344" s="541"/>
      <c r="B344" s="534"/>
      <c r="C344" s="517"/>
      <c r="D344" s="517"/>
      <c r="E344" s="517"/>
      <c r="F344" s="517"/>
      <c r="G344" s="525"/>
      <c r="H344" s="525"/>
      <c r="I344" s="531"/>
      <c r="J344" s="543"/>
      <c r="K344" s="531"/>
      <c r="L344" s="868"/>
      <c r="M344" s="867"/>
      <c r="N344" s="867"/>
      <c r="O344" s="867"/>
      <c r="P344" s="867"/>
      <c r="Q344" s="867"/>
    </row>
    <row r="345" spans="1:17">
      <c r="A345" s="541" t="s">
        <v>369</v>
      </c>
      <c r="B345" s="534" t="s">
        <v>674</v>
      </c>
      <c r="C345" s="517"/>
      <c r="D345" s="517"/>
      <c r="E345" s="517"/>
      <c r="F345" s="517"/>
      <c r="G345" s="525"/>
      <c r="H345" s="525"/>
      <c r="I345" s="531"/>
      <c r="J345" s="542"/>
      <c r="K345" s="531"/>
      <c r="L345" s="867"/>
      <c r="M345" s="867"/>
      <c r="N345" s="867"/>
      <c r="O345" s="867"/>
      <c r="P345" s="867"/>
      <c r="Q345" s="867"/>
    </row>
    <row r="346" spans="1:17">
      <c r="A346" s="541"/>
      <c r="B346" s="534" t="s">
        <v>675</v>
      </c>
      <c r="C346" s="517"/>
      <c r="D346" s="517"/>
      <c r="E346" s="517"/>
      <c r="F346" s="517"/>
      <c r="G346" s="525"/>
      <c r="H346" s="525"/>
      <c r="I346" s="531"/>
      <c r="J346" s="542"/>
      <c r="K346" s="531"/>
      <c r="L346" s="867"/>
      <c r="M346" s="867"/>
      <c r="N346" s="867"/>
      <c r="O346" s="867"/>
      <c r="P346" s="867"/>
      <c r="Q346" s="867"/>
    </row>
    <row r="347" spans="1:17">
      <c r="A347" s="523"/>
      <c r="B347" s="877" t="s">
        <v>1696</v>
      </c>
      <c r="C347" s="529"/>
      <c r="D347" s="529"/>
      <c r="E347" s="529"/>
      <c r="F347" s="529"/>
      <c r="G347" s="528" t="s">
        <v>450</v>
      </c>
      <c r="H347" s="528">
        <v>8</v>
      </c>
      <c r="I347" s="553"/>
      <c r="J347" s="545"/>
      <c r="K347" s="531"/>
      <c r="L347" s="867"/>
      <c r="M347" s="867"/>
      <c r="N347" s="867"/>
      <c r="O347" s="867"/>
      <c r="P347" s="867"/>
      <c r="Q347" s="867"/>
    </row>
    <row r="348" spans="1:17">
      <c r="A348" s="541"/>
      <c r="B348" s="534"/>
      <c r="C348" s="517"/>
      <c r="D348" s="517"/>
      <c r="E348" s="517"/>
      <c r="F348" s="517"/>
      <c r="G348" s="525"/>
      <c r="H348" s="525"/>
      <c r="I348" s="531"/>
      <c r="J348" s="542"/>
      <c r="K348" s="531"/>
      <c r="L348" s="867"/>
      <c r="M348" s="867"/>
      <c r="N348" s="867"/>
      <c r="O348" s="867"/>
      <c r="P348" s="867"/>
      <c r="Q348" s="867"/>
    </row>
    <row r="349" spans="1:17">
      <c r="A349" s="541" t="s">
        <v>370</v>
      </c>
      <c r="B349" s="534" t="s">
        <v>1716</v>
      </c>
      <c r="C349" s="517"/>
      <c r="D349" s="517"/>
      <c r="E349" s="517"/>
      <c r="F349" s="517"/>
      <c r="G349" s="525"/>
      <c r="H349" s="525"/>
      <c r="I349" s="531"/>
      <c r="J349" s="542"/>
      <c r="K349" s="531"/>
      <c r="L349" s="867"/>
      <c r="M349" s="867"/>
      <c r="N349" s="867"/>
      <c r="O349" s="867"/>
      <c r="P349" s="867"/>
      <c r="Q349" s="867"/>
    </row>
    <row r="350" spans="1:17">
      <c r="A350" s="541"/>
      <c r="B350" s="534" t="s">
        <v>676</v>
      </c>
      <c r="C350" s="517"/>
      <c r="D350" s="517"/>
      <c r="E350" s="517"/>
      <c r="F350" s="517"/>
      <c r="G350" s="525"/>
      <c r="H350" s="525"/>
      <c r="I350" s="531"/>
      <c r="J350" s="542"/>
      <c r="K350" s="531"/>
      <c r="L350" s="867"/>
      <c r="M350" s="867"/>
      <c r="N350" s="867"/>
      <c r="O350" s="867"/>
      <c r="P350" s="867"/>
      <c r="Q350" s="867"/>
    </row>
    <row r="351" spans="1:17">
      <c r="A351" s="541"/>
      <c r="B351" s="534" t="s">
        <v>677</v>
      </c>
      <c r="C351" s="517"/>
      <c r="D351" s="517"/>
      <c r="E351" s="517"/>
      <c r="F351" s="517"/>
      <c r="G351" s="525"/>
      <c r="H351" s="525"/>
      <c r="I351" s="531"/>
      <c r="J351" s="542"/>
      <c r="K351" s="531"/>
      <c r="L351" s="867"/>
      <c r="M351" s="867"/>
      <c r="N351" s="867"/>
      <c r="O351" s="867"/>
      <c r="P351" s="867"/>
      <c r="Q351" s="867"/>
    </row>
    <row r="352" spans="1:17">
      <c r="A352" s="523"/>
      <c r="B352" s="877" t="s">
        <v>371</v>
      </c>
      <c r="C352" s="529"/>
      <c r="D352" s="529"/>
      <c r="E352" s="529"/>
      <c r="F352" s="529"/>
      <c r="G352" s="528" t="s">
        <v>631</v>
      </c>
      <c r="H352" s="528">
        <v>6</v>
      </c>
      <c r="I352" s="553"/>
      <c r="J352" s="887"/>
      <c r="K352" s="531"/>
      <c r="L352" s="867"/>
      <c r="M352" s="867"/>
      <c r="N352" s="867"/>
      <c r="O352" s="867"/>
      <c r="P352" s="867"/>
      <c r="Q352" s="867"/>
    </row>
    <row r="353" spans="1:17">
      <c r="A353" s="541"/>
      <c r="B353" s="534"/>
      <c r="C353" s="517"/>
      <c r="D353" s="517"/>
      <c r="E353" s="517"/>
      <c r="F353" s="517"/>
      <c r="G353" s="525"/>
      <c r="H353" s="525"/>
      <c r="I353" s="531"/>
      <c r="J353" s="542"/>
      <c r="K353" s="531"/>
      <c r="L353" s="867"/>
      <c r="M353" s="867"/>
      <c r="N353" s="867"/>
      <c r="O353" s="867"/>
      <c r="P353" s="867"/>
      <c r="Q353" s="867"/>
    </row>
    <row r="354" spans="1:17">
      <c r="A354" s="541" t="s">
        <v>372</v>
      </c>
      <c r="B354" s="534" t="s">
        <v>678</v>
      </c>
      <c r="C354" s="517"/>
      <c r="D354" s="517"/>
      <c r="E354" s="517"/>
      <c r="F354" s="517"/>
      <c r="G354" s="525"/>
      <c r="H354" s="525"/>
      <c r="I354" s="531"/>
      <c r="J354" s="542"/>
      <c r="K354" s="531"/>
      <c r="L354" s="867"/>
      <c r="M354" s="867"/>
      <c r="N354" s="867"/>
      <c r="O354" s="867"/>
      <c r="P354" s="867"/>
      <c r="Q354" s="867"/>
    </row>
    <row r="355" spans="1:17">
      <c r="A355" s="541"/>
      <c r="B355" s="534" t="s">
        <v>679</v>
      </c>
      <c r="C355" s="517"/>
      <c r="D355" s="517"/>
      <c r="E355" s="517"/>
      <c r="F355" s="517"/>
      <c r="G355" s="525"/>
      <c r="H355" s="525"/>
      <c r="I355" s="531"/>
      <c r="J355" s="542"/>
      <c r="K355" s="531"/>
      <c r="L355" s="867"/>
      <c r="M355" s="867"/>
      <c r="N355" s="867"/>
      <c r="O355" s="867"/>
      <c r="P355" s="867"/>
      <c r="Q355" s="867"/>
    </row>
    <row r="356" spans="1:17">
      <c r="A356" s="541"/>
      <c r="B356" s="534" t="s">
        <v>680</v>
      </c>
      <c r="C356" s="517"/>
      <c r="D356" s="517"/>
      <c r="E356" s="517"/>
      <c r="F356" s="517"/>
      <c r="G356" s="525"/>
      <c r="H356" s="525"/>
      <c r="I356" s="531"/>
      <c r="J356" s="542"/>
      <c r="K356" s="531"/>
      <c r="L356" s="867"/>
      <c r="M356" s="867"/>
      <c r="N356" s="867"/>
      <c r="O356" s="867"/>
      <c r="P356" s="867"/>
      <c r="Q356" s="867"/>
    </row>
    <row r="357" spans="1:17" ht="16.5" thickBot="1">
      <c r="A357" s="523"/>
      <c r="B357" s="877"/>
      <c r="C357" s="529"/>
      <c r="D357" s="529"/>
      <c r="E357" s="529"/>
      <c r="F357" s="529"/>
      <c r="G357" s="530" t="s">
        <v>622</v>
      </c>
      <c r="H357" s="530">
        <v>3</v>
      </c>
      <c r="I357" s="885"/>
      <c r="J357" s="546"/>
      <c r="K357" s="531"/>
      <c r="L357" s="867"/>
      <c r="M357" s="867"/>
      <c r="N357" s="867"/>
      <c r="O357" s="867"/>
      <c r="P357" s="867"/>
      <c r="Q357" s="867"/>
    </row>
    <row r="358" spans="1:17" ht="17.25" thickTop="1" thickBot="1">
      <c r="A358" s="547"/>
      <c r="B358" s="880"/>
      <c r="C358" s="514"/>
      <c r="D358" s="514"/>
      <c r="E358" s="514"/>
      <c r="F358" s="514"/>
      <c r="G358" s="548"/>
      <c r="H358" s="897" t="s">
        <v>681</v>
      </c>
      <c r="I358" s="901"/>
      <c r="J358" s="911"/>
      <c r="K358" s="515"/>
      <c r="L358" s="514"/>
      <c r="M358" s="514"/>
      <c r="N358" s="514"/>
      <c r="O358" s="514"/>
      <c r="P358" s="514"/>
      <c r="Q358" s="514"/>
    </row>
    <row r="359" spans="1:17" ht="16.5" thickTop="1">
      <c r="A359" s="547"/>
      <c r="B359" s="880"/>
      <c r="C359" s="514"/>
      <c r="D359" s="514"/>
      <c r="E359" s="514"/>
      <c r="F359" s="514"/>
      <c r="G359" s="577"/>
      <c r="H359" s="577"/>
      <c r="I359" s="515"/>
      <c r="J359" s="538"/>
      <c r="K359" s="515"/>
      <c r="L359" s="514"/>
      <c r="M359" s="514"/>
      <c r="N359" s="515"/>
      <c r="O359" s="515"/>
      <c r="P359" s="514"/>
    </row>
    <row r="360" spans="1:17" ht="17.25">
      <c r="A360" s="537" t="s">
        <v>682</v>
      </c>
      <c r="B360" s="880"/>
      <c r="C360" s="514"/>
      <c r="D360" s="514"/>
      <c r="E360" s="514"/>
      <c r="F360" s="514"/>
      <c r="G360" s="577"/>
      <c r="H360" s="577"/>
      <c r="I360" s="515"/>
      <c r="J360" s="882"/>
      <c r="K360" s="515"/>
      <c r="L360" s="514"/>
      <c r="M360" s="514"/>
      <c r="N360" s="515"/>
      <c r="O360" s="515"/>
      <c r="P360" s="514"/>
    </row>
    <row r="361" spans="1:17">
      <c r="A361" s="883"/>
      <c r="B361" s="534"/>
      <c r="C361" s="517"/>
      <c r="D361" s="517"/>
      <c r="E361" s="517"/>
      <c r="F361" s="517"/>
      <c r="G361" s="525"/>
      <c r="H361" s="525"/>
      <c r="I361" s="531"/>
      <c r="J361" s="542"/>
      <c r="K361" s="531"/>
      <c r="L361" s="517"/>
      <c r="M361" s="517"/>
      <c r="N361" s="531"/>
      <c r="O361" s="531"/>
      <c r="P361" s="517"/>
      <c r="Q361" s="517"/>
    </row>
    <row r="362" spans="1:17">
      <c r="A362" s="541" t="s">
        <v>0</v>
      </c>
      <c r="B362" s="517" t="s">
        <v>683</v>
      </c>
      <c r="C362" s="517"/>
      <c r="D362" s="517"/>
      <c r="E362" s="517"/>
      <c r="F362" s="517"/>
      <c r="G362" s="525"/>
      <c r="H362" s="517"/>
      <c r="I362" s="531"/>
      <c r="J362" s="542"/>
      <c r="K362" s="552"/>
      <c r="L362" s="867"/>
      <c r="M362" s="867"/>
      <c r="N362" s="867"/>
      <c r="O362" s="867"/>
      <c r="P362" s="867"/>
      <c r="Q362" s="867"/>
    </row>
    <row r="363" spans="1:17">
      <c r="A363" s="539"/>
      <c r="B363" s="517" t="s">
        <v>684</v>
      </c>
      <c r="C363" s="517"/>
      <c r="D363" s="517"/>
      <c r="E363" s="517"/>
      <c r="F363" s="517"/>
      <c r="G363" s="525"/>
      <c r="H363" s="517"/>
      <c r="I363" s="531"/>
      <c r="J363" s="542"/>
      <c r="K363" s="552"/>
      <c r="L363" s="867"/>
      <c r="M363" s="867"/>
      <c r="N363" s="867"/>
      <c r="O363" s="867"/>
      <c r="P363" s="867"/>
      <c r="Q363" s="867"/>
    </row>
    <row r="364" spans="1:17">
      <c r="A364" s="539"/>
      <c r="B364" s="517" t="s">
        <v>685</v>
      </c>
      <c r="C364" s="517"/>
      <c r="D364" s="517"/>
      <c r="E364" s="517"/>
      <c r="F364" s="517"/>
      <c r="G364" s="525"/>
      <c r="H364" s="517"/>
      <c r="I364" s="531"/>
      <c r="J364" s="542"/>
      <c r="K364" s="552"/>
      <c r="L364" s="867"/>
      <c r="M364" s="867"/>
      <c r="N364" s="867"/>
      <c r="O364" s="867"/>
      <c r="P364" s="867"/>
      <c r="Q364" s="867"/>
    </row>
    <row r="365" spans="1:17">
      <c r="A365" s="544"/>
      <c r="B365" s="529"/>
      <c r="C365" s="529"/>
      <c r="D365" s="529"/>
      <c r="E365" s="529"/>
      <c r="F365" s="529"/>
      <c r="G365" s="528" t="s">
        <v>399</v>
      </c>
      <c r="H365" s="527">
        <v>15</v>
      </c>
      <c r="I365" s="553"/>
      <c r="J365" s="545"/>
      <c r="K365" s="552"/>
      <c r="L365" s="867"/>
      <c r="M365" s="867"/>
      <c r="N365" s="867"/>
      <c r="O365" s="867"/>
      <c r="P365" s="867"/>
      <c r="Q365" s="867"/>
    </row>
    <row r="366" spans="1:17">
      <c r="A366" s="539"/>
      <c r="B366" s="518"/>
      <c r="C366" s="517"/>
      <c r="D366" s="517"/>
      <c r="E366" s="517"/>
      <c r="F366" s="517"/>
      <c r="G366" s="525"/>
      <c r="H366" s="525"/>
      <c r="I366" s="531"/>
      <c r="J366" s="542"/>
      <c r="K366" s="531"/>
      <c r="L366" s="867"/>
      <c r="M366" s="867"/>
      <c r="N366" s="867"/>
      <c r="O366" s="867"/>
      <c r="P366" s="867"/>
      <c r="Q366" s="867"/>
    </row>
    <row r="367" spans="1:17">
      <c r="A367" s="541" t="s">
        <v>1</v>
      </c>
      <c r="B367" s="534" t="s">
        <v>686</v>
      </c>
      <c r="C367" s="517"/>
      <c r="D367" s="517"/>
      <c r="E367" s="517"/>
      <c r="F367" s="517"/>
      <c r="G367" s="525"/>
      <c r="H367" s="525"/>
      <c r="I367" s="531"/>
      <c r="J367" s="542"/>
      <c r="K367" s="531"/>
      <c r="L367" s="514"/>
      <c r="M367" s="514"/>
      <c r="N367" s="531"/>
      <c r="O367" s="531"/>
      <c r="P367" s="514"/>
    </row>
    <row r="368" spans="1:17">
      <c r="A368" s="539"/>
      <c r="B368" s="534" t="s">
        <v>687</v>
      </c>
      <c r="C368" s="517"/>
      <c r="D368" s="517"/>
      <c r="E368" s="517"/>
      <c r="F368" s="517"/>
      <c r="G368" s="525"/>
      <c r="H368" s="525"/>
      <c r="I368" s="531"/>
      <c r="J368" s="542"/>
      <c r="K368" s="531"/>
      <c r="L368" s="514"/>
      <c r="M368" s="514"/>
      <c r="N368" s="531"/>
      <c r="O368" s="531"/>
      <c r="P368" s="514"/>
    </row>
    <row r="369" spans="1:16">
      <c r="A369" s="539"/>
      <c r="B369" s="534" t="s">
        <v>688</v>
      </c>
      <c r="C369" s="517"/>
      <c r="D369" s="517"/>
      <c r="E369" s="517"/>
      <c r="F369" s="517"/>
      <c r="G369" s="525"/>
      <c r="H369" s="525"/>
      <c r="I369" s="531"/>
      <c r="J369" s="542"/>
      <c r="K369" s="531"/>
      <c r="L369" s="514"/>
      <c r="M369" s="514"/>
      <c r="N369" s="531"/>
      <c r="O369" s="531"/>
      <c r="P369" s="514"/>
    </row>
    <row r="370" spans="1:16">
      <c r="A370" s="539"/>
      <c r="B370" s="534" t="s">
        <v>689</v>
      </c>
      <c r="C370" s="517"/>
      <c r="D370" s="517"/>
      <c r="E370" s="517"/>
      <c r="F370" s="517"/>
      <c r="G370" s="525"/>
      <c r="H370" s="525"/>
      <c r="I370" s="531"/>
      <c r="J370" s="542"/>
      <c r="K370" s="531"/>
      <c r="L370" s="514"/>
      <c r="M370" s="514"/>
      <c r="N370" s="531"/>
      <c r="O370" s="531"/>
      <c r="P370" s="514"/>
    </row>
    <row r="371" spans="1:16">
      <c r="A371" s="539"/>
      <c r="B371" s="534" t="s">
        <v>690</v>
      </c>
      <c r="C371" s="517"/>
      <c r="D371" s="517"/>
      <c r="E371" s="517"/>
      <c r="F371" s="517"/>
      <c r="G371" s="525"/>
      <c r="H371" s="525"/>
      <c r="I371" s="531"/>
      <c r="J371" s="542"/>
      <c r="K371" s="531"/>
      <c r="L371" s="514"/>
      <c r="M371" s="514"/>
      <c r="N371" s="531"/>
      <c r="O371" s="531"/>
      <c r="P371" s="514"/>
    </row>
    <row r="372" spans="1:16">
      <c r="A372" s="544"/>
      <c r="B372" s="877"/>
      <c r="C372" s="529"/>
      <c r="D372" s="529"/>
      <c r="E372" s="529"/>
      <c r="F372" s="529"/>
      <c r="G372" s="528" t="s">
        <v>631</v>
      </c>
      <c r="H372" s="528">
        <v>220</v>
      </c>
      <c r="I372" s="553"/>
      <c r="J372" s="545"/>
      <c r="K372" s="531"/>
      <c r="L372" s="514"/>
      <c r="M372" s="514"/>
      <c r="N372" s="531"/>
      <c r="O372" s="531"/>
      <c r="P372" s="514"/>
    </row>
    <row r="373" spans="1:16">
      <c r="A373" s="539"/>
      <c r="B373" s="534"/>
      <c r="C373" s="517"/>
      <c r="D373" s="517"/>
      <c r="E373" s="517"/>
      <c r="F373" s="517"/>
      <c r="G373" s="525"/>
      <c r="H373" s="525"/>
      <c r="I373" s="531"/>
      <c r="J373" s="543"/>
      <c r="K373" s="531"/>
      <c r="L373" s="514"/>
      <c r="M373" s="514"/>
      <c r="N373" s="531"/>
      <c r="O373" s="531"/>
      <c r="P373" s="514"/>
    </row>
    <row r="374" spans="1:16">
      <c r="A374" s="541" t="s">
        <v>2</v>
      </c>
      <c r="B374" s="534" t="s">
        <v>691</v>
      </c>
      <c r="C374" s="517"/>
      <c r="D374" s="517"/>
      <c r="E374" s="517"/>
      <c r="F374" s="517"/>
      <c r="G374" s="525"/>
      <c r="H374" s="525"/>
      <c r="I374" s="531"/>
      <c r="J374" s="542"/>
      <c r="K374" s="531"/>
      <c r="L374" s="514"/>
      <c r="M374" s="514"/>
      <c r="N374" s="531"/>
      <c r="O374" s="531"/>
      <c r="P374" s="514"/>
    </row>
    <row r="375" spans="1:16">
      <c r="A375" s="539"/>
      <c r="B375" s="534" t="s">
        <v>692</v>
      </c>
      <c r="C375" s="517"/>
      <c r="D375" s="517"/>
      <c r="E375" s="517"/>
      <c r="F375" s="517"/>
      <c r="G375" s="525"/>
      <c r="H375" s="525"/>
      <c r="I375" s="531"/>
      <c r="J375" s="542"/>
      <c r="K375" s="531"/>
      <c r="L375" s="514"/>
      <c r="M375" s="514"/>
      <c r="N375" s="531"/>
      <c r="O375" s="531"/>
      <c r="P375" s="514"/>
    </row>
    <row r="376" spans="1:16">
      <c r="A376" s="544"/>
      <c r="B376" s="877"/>
      <c r="C376" s="529"/>
      <c r="D376" s="529"/>
      <c r="E376" s="529"/>
      <c r="F376" s="529"/>
      <c r="G376" s="528" t="s">
        <v>631</v>
      </c>
      <c r="H376" s="528">
        <v>3</v>
      </c>
      <c r="I376" s="553"/>
      <c r="J376" s="545"/>
      <c r="K376" s="531"/>
      <c r="L376" s="514"/>
      <c r="M376" s="514"/>
      <c r="N376" s="531"/>
      <c r="O376" s="531"/>
      <c r="P376" s="514"/>
    </row>
    <row r="377" spans="1:16">
      <c r="A377" s="539"/>
      <c r="B377" s="534"/>
      <c r="C377" s="517"/>
      <c r="D377" s="517"/>
      <c r="E377" s="517"/>
      <c r="F377" s="517"/>
      <c r="G377" s="525"/>
      <c r="H377" s="525"/>
      <c r="I377" s="531"/>
      <c r="J377" s="542"/>
      <c r="K377" s="531"/>
      <c r="L377" s="514"/>
      <c r="M377" s="514"/>
      <c r="N377" s="531"/>
      <c r="O377" s="531"/>
      <c r="P377" s="514"/>
    </row>
    <row r="378" spans="1:16">
      <c r="A378" s="541" t="s">
        <v>3</v>
      </c>
      <c r="B378" s="534" t="s">
        <v>1717</v>
      </c>
      <c r="C378" s="517"/>
      <c r="D378" s="517"/>
      <c r="E378" s="517"/>
      <c r="F378" s="517"/>
      <c r="G378" s="525"/>
      <c r="H378" s="525"/>
      <c r="I378" s="531"/>
      <c r="J378" s="542"/>
      <c r="K378" s="531"/>
      <c r="L378" s="514"/>
      <c r="M378" s="514"/>
      <c r="N378" s="531"/>
      <c r="O378" s="531"/>
      <c r="P378" s="514"/>
    </row>
    <row r="379" spans="1:16">
      <c r="A379" s="539"/>
      <c r="B379" s="534" t="s">
        <v>693</v>
      </c>
      <c r="C379" s="517"/>
      <c r="D379" s="517"/>
      <c r="E379" s="517"/>
      <c r="F379" s="517"/>
      <c r="G379" s="525"/>
      <c r="H379" s="525"/>
      <c r="I379" s="531"/>
      <c r="J379" s="542"/>
      <c r="K379" s="531"/>
      <c r="L379" s="514"/>
      <c r="M379" s="514"/>
      <c r="N379" s="531"/>
      <c r="O379" s="531"/>
      <c r="P379" s="514"/>
    </row>
    <row r="380" spans="1:16">
      <c r="A380" s="544"/>
      <c r="B380" s="877"/>
      <c r="C380" s="529"/>
      <c r="D380" s="529"/>
      <c r="E380" s="529"/>
      <c r="F380" s="529"/>
      <c r="G380" s="528" t="s">
        <v>631</v>
      </c>
      <c r="H380" s="528">
        <v>3</v>
      </c>
      <c r="I380" s="553"/>
      <c r="J380" s="545"/>
      <c r="K380" s="531"/>
      <c r="L380" s="514"/>
      <c r="M380" s="514"/>
      <c r="N380" s="531"/>
      <c r="O380" s="531"/>
      <c r="P380" s="514"/>
    </row>
    <row r="381" spans="1:16">
      <c r="A381" s="539"/>
      <c r="B381" s="534"/>
      <c r="C381" s="517"/>
      <c r="D381" s="517"/>
      <c r="E381" s="517"/>
      <c r="F381" s="517"/>
      <c r="G381" s="525"/>
      <c r="H381" s="525"/>
      <c r="I381" s="531"/>
      <c r="J381" s="543"/>
      <c r="K381" s="531"/>
      <c r="L381" s="514"/>
      <c r="M381" s="514"/>
      <c r="N381" s="531"/>
      <c r="O381" s="531"/>
      <c r="P381" s="514"/>
    </row>
    <row r="382" spans="1:16">
      <c r="A382" s="541" t="s">
        <v>4</v>
      </c>
      <c r="B382" s="534" t="s">
        <v>694</v>
      </c>
      <c r="C382" s="517"/>
      <c r="D382" s="517"/>
      <c r="E382" s="517"/>
      <c r="F382" s="517"/>
      <c r="G382" s="525"/>
      <c r="H382" s="525"/>
      <c r="I382" s="531"/>
      <c r="J382" s="542"/>
      <c r="K382" s="531"/>
      <c r="L382" s="514"/>
      <c r="M382" s="514"/>
      <c r="N382" s="531"/>
      <c r="O382" s="531"/>
      <c r="P382" s="514"/>
    </row>
    <row r="383" spans="1:16">
      <c r="A383" s="539"/>
      <c r="B383" s="534" t="s">
        <v>695</v>
      </c>
      <c r="C383" s="517"/>
      <c r="D383" s="517"/>
      <c r="E383" s="517"/>
      <c r="F383" s="517"/>
      <c r="G383" s="525"/>
      <c r="H383" s="525"/>
      <c r="I383" s="531"/>
      <c r="J383" s="542"/>
      <c r="K383" s="531"/>
      <c r="L383" s="514"/>
      <c r="M383" s="514"/>
      <c r="N383" s="531"/>
      <c r="O383" s="531"/>
      <c r="P383" s="514"/>
    </row>
    <row r="384" spans="1:16">
      <c r="A384" s="539"/>
      <c r="B384" s="534" t="s">
        <v>696</v>
      </c>
      <c r="C384" s="517"/>
      <c r="D384" s="517"/>
      <c r="E384" s="517"/>
      <c r="F384" s="517"/>
      <c r="G384" s="525"/>
      <c r="H384" s="525"/>
      <c r="I384" s="531"/>
      <c r="J384" s="542"/>
      <c r="K384" s="531"/>
      <c r="L384" s="514"/>
      <c r="M384" s="514"/>
      <c r="N384" s="531"/>
      <c r="O384" s="531"/>
      <c r="P384" s="514"/>
    </row>
    <row r="385" spans="1:17">
      <c r="A385" s="544"/>
      <c r="B385" s="877"/>
      <c r="C385" s="529"/>
      <c r="D385" s="529"/>
      <c r="E385" s="529"/>
      <c r="F385" s="529"/>
      <c r="G385" s="528" t="s">
        <v>631</v>
      </c>
      <c r="H385" s="528">
        <v>1</v>
      </c>
      <c r="I385" s="553"/>
      <c r="J385" s="545"/>
      <c r="K385" s="531"/>
      <c r="L385" s="514"/>
      <c r="M385" s="514"/>
      <c r="N385" s="531"/>
      <c r="O385" s="531"/>
      <c r="P385" s="514"/>
    </row>
    <row r="386" spans="1:17">
      <c r="A386" s="539"/>
      <c r="B386" s="518"/>
      <c r="C386" s="517"/>
      <c r="D386" s="517"/>
      <c r="E386" s="517"/>
      <c r="F386" s="517"/>
      <c r="G386" s="525"/>
      <c r="H386" s="525"/>
      <c r="I386" s="531"/>
      <c r="J386" s="543"/>
      <c r="K386" s="531"/>
      <c r="L386" s="514"/>
      <c r="M386" s="514"/>
      <c r="N386" s="902"/>
      <c r="O386" s="871"/>
      <c r="P386" s="514"/>
    </row>
    <row r="387" spans="1:17">
      <c r="A387" s="541" t="s">
        <v>5</v>
      </c>
      <c r="B387" s="534" t="s">
        <v>697</v>
      </c>
      <c r="C387" s="517"/>
      <c r="D387" s="517"/>
      <c r="E387" s="517"/>
      <c r="F387" s="517"/>
      <c r="G387" s="525"/>
      <c r="H387" s="525"/>
      <c r="I387" s="531"/>
      <c r="J387" s="542"/>
      <c r="K387" s="531"/>
      <c r="L387" s="514"/>
      <c r="M387" s="514"/>
      <c r="N387" s="531"/>
      <c r="O387" s="531"/>
      <c r="P387" s="514"/>
    </row>
    <row r="388" spans="1:17">
      <c r="A388" s="539"/>
      <c r="B388" s="534" t="s">
        <v>698</v>
      </c>
      <c r="C388" s="517"/>
      <c r="D388" s="517"/>
      <c r="E388" s="517"/>
      <c r="F388" s="517"/>
      <c r="G388" s="525"/>
      <c r="H388" s="525"/>
      <c r="I388" s="531"/>
      <c r="J388" s="542"/>
      <c r="K388" s="531"/>
      <c r="L388" s="514"/>
      <c r="M388" s="514"/>
      <c r="N388" s="531"/>
      <c r="O388" s="531"/>
      <c r="P388" s="514"/>
    </row>
    <row r="389" spans="1:17" ht="16.5" thickBot="1">
      <c r="A389" s="544"/>
      <c r="B389" s="877"/>
      <c r="C389" s="529"/>
      <c r="D389" s="529"/>
      <c r="E389" s="529"/>
      <c r="F389" s="529"/>
      <c r="G389" s="530" t="s">
        <v>699</v>
      </c>
      <c r="H389" s="530">
        <v>1</v>
      </c>
      <c r="I389" s="885"/>
      <c r="J389" s="546"/>
      <c r="K389" s="531"/>
      <c r="L389" s="514"/>
      <c r="M389" s="514"/>
      <c r="N389" s="531"/>
      <c r="O389" s="531"/>
      <c r="P389" s="514"/>
    </row>
    <row r="390" spans="1:17" ht="17.25" thickTop="1" thickBot="1">
      <c r="A390" s="547"/>
      <c r="B390" s="880"/>
      <c r="C390" s="514"/>
      <c r="D390" s="514"/>
      <c r="E390" s="514"/>
      <c r="F390" s="514"/>
      <c r="G390" s="548"/>
      <c r="H390" s="897" t="s">
        <v>700</v>
      </c>
      <c r="I390" s="550"/>
      <c r="J390" s="911"/>
      <c r="K390" s="515"/>
      <c r="L390" s="514"/>
      <c r="M390" s="514"/>
      <c r="N390" s="515"/>
      <c r="O390" s="515"/>
      <c r="P390" s="514"/>
      <c r="Q390" s="514"/>
    </row>
    <row r="391" spans="1:17" ht="16.5" thickTop="1">
      <c r="A391" s="547"/>
      <c r="B391" s="880"/>
      <c r="C391" s="514"/>
      <c r="D391" s="514"/>
      <c r="E391" s="514"/>
      <c r="F391" s="514"/>
      <c r="G391" s="577"/>
      <c r="H391" s="577"/>
      <c r="I391" s="515"/>
      <c r="J391" s="882"/>
      <c r="K391" s="515"/>
      <c r="N391" s="515"/>
      <c r="O391" s="515"/>
    </row>
    <row r="392" spans="1:17">
      <c r="A392" s="547"/>
      <c r="B392" s="880"/>
      <c r="C392" s="514"/>
      <c r="D392" s="514"/>
      <c r="E392" s="514"/>
      <c r="F392" s="514"/>
      <c r="G392" s="577"/>
      <c r="H392" s="577"/>
      <c r="I392" s="515"/>
      <c r="J392" s="882"/>
      <c r="K392" s="515"/>
      <c r="N392" s="515"/>
      <c r="O392" s="515"/>
    </row>
    <row r="393" spans="1:17" ht="16.5" thickBot="1">
      <c r="A393" s="903"/>
      <c r="B393" s="904"/>
      <c r="C393" s="905"/>
      <c r="D393" s="905"/>
      <c r="E393" s="905"/>
      <c r="F393" s="905"/>
      <c r="G393" s="906"/>
      <c r="H393" s="906"/>
      <c r="I393" s="907"/>
      <c r="J393" s="908"/>
      <c r="K393" s="515"/>
      <c r="N393" s="515"/>
      <c r="O393" s="515"/>
    </row>
    <row r="394" spans="1:17" ht="16.5" thickTop="1">
      <c r="A394" s="547"/>
      <c r="B394" s="909" t="s">
        <v>1697</v>
      </c>
      <c r="C394" s="514"/>
      <c r="D394" s="514"/>
      <c r="E394" s="514"/>
      <c r="F394" s="514"/>
      <c r="G394" s="577"/>
      <c r="H394" s="577"/>
      <c r="I394" s="515"/>
      <c r="J394" s="882"/>
      <c r="K394" s="515"/>
      <c r="N394" s="515"/>
      <c r="O394" s="515"/>
    </row>
    <row r="395" spans="1:17">
      <c r="A395" s="547"/>
      <c r="B395" s="880"/>
      <c r="C395" s="514"/>
      <c r="D395" s="514"/>
      <c r="E395" s="514"/>
      <c r="F395" s="514"/>
      <c r="G395" s="577"/>
      <c r="H395" s="577"/>
      <c r="I395" s="515"/>
      <c r="J395" s="882"/>
      <c r="K395" s="515"/>
      <c r="N395" s="515"/>
      <c r="O395" s="515"/>
    </row>
    <row r="396" spans="1:17">
      <c r="A396" s="547"/>
      <c r="B396" s="910" t="s">
        <v>1381</v>
      </c>
      <c r="C396" s="514"/>
      <c r="D396" s="514"/>
      <c r="E396" s="514"/>
      <c r="F396" s="514"/>
      <c r="G396" s="577"/>
      <c r="H396" s="577"/>
      <c r="I396" s="515"/>
      <c r="J396" s="882"/>
      <c r="K396" s="515"/>
      <c r="N396" s="515"/>
      <c r="O396" s="515"/>
    </row>
    <row r="397" spans="1:17">
      <c r="A397" s="547"/>
      <c r="B397" s="910" t="s">
        <v>624</v>
      </c>
      <c r="C397" s="514"/>
      <c r="D397" s="514"/>
      <c r="E397" s="514"/>
      <c r="F397" s="514"/>
      <c r="G397" s="577"/>
      <c r="H397" s="577"/>
      <c r="I397" s="515"/>
      <c r="J397" s="882"/>
      <c r="K397" s="515"/>
      <c r="N397" s="515"/>
      <c r="O397" s="515"/>
    </row>
    <row r="398" spans="1:17">
      <c r="A398" s="547"/>
      <c r="B398" s="910" t="s">
        <v>1392</v>
      </c>
      <c r="C398" s="514"/>
      <c r="D398" s="514"/>
      <c r="E398" s="514"/>
      <c r="F398" s="514"/>
      <c r="G398" s="577"/>
      <c r="H398" s="577"/>
      <c r="I398" s="515"/>
      <c r="J398" s="882"/>
      <c r="K398" s="515"/>
      <c r="N398" s="515"/>
      <c r="O398" s="515"/>
    </row>
    <row r="399" spans="1:17">
      <c r="A399" s="547"/>
      <c r="B399" s="910" t="s">
        <v>645</v>
      </c>
      <c r="C399" s="514"/>
      <c r="D399" s="514"/>
      <c r="E399" s="514"/>
      <c r="F399" s="514"/>
      <c r="G399" s="577"/>
      <c r="H399" s="577"/>
      <c r="I399" s="515"/>
      <c r="J399" s="882"/>
      <c r="K399" s="515"/>
      <c r="N399" s="515"/>
      <c r="O399" s="515"/>
    </row>
    <row r="400" spans="1:17">
      <c r="A400" s="547"/>
      <c r="B400" s="910" t="s">
        <v>682</v>
      </c>
      <c r="C400" s="514"/>
      <c r="D400" s="514"/>
      <c r="E400" s="514"/>
      <c r="F400" s="514"/>
      <c r="G400" s="577"/>
      <c r="H400" s="577"/>
      <c r="I400" s="515"/>
      <c r="J400" s="882"/>
      <c r="K400" s="515"/>
      <c r="N400" s="515"/>
      <c r="O400" s="515"/>
    </row>
    <row r="401" spans="1:15" ht="16.5" thickBot="1">
      <c r="A401" s="547"/>
      <c r="B401" s="880"/>
      <c r="C401" s="514"/>
      <c r="D401" s="514"/>
      <c r="E401" s="514"/>
      <c r="F401" s="514"/>
      <c r="G401" s="577"/>
      <c r="H401" s="906"/>
      <c r="I401" s="907"/>
      <c r="J401" s="908"/>
      <c r="K401" s="515"/>
      <c r="N401" s="515"/>
      <c r="O401" s="515"/>
    </row>
    <row r="402" spans="1:15" ht="17.25" thickTop="1" thickBot="1">
      <c r="A402" s="547"/>
      <c r="B402" s="880"/>
      <c r="C402" s="514"/>
      <c r="D402" s="514"/>
      <c r="E402" s="514"/>
      <c r="F402" s="514"/>
      <c r="G402" s="577"/>
      <c r="H402" s="577"/>
      <c r="I402" s="515"/>
      <c r="J402" s="551"/>
      <c r="K402" s="515"/>
      <c r="N402" s="515"/>
      <c r="O402" s="515"/>
    </row>
    <row r="403" spans="1:15" ht="16.5" thickTop="1">
      <c r="A403" s="547"/>
      <c r="B403" s="880"/>
      <c r="C403" s="514"/>
      <c r="D403" s="514"/>
      <c r="E403" s="514"/>
      <c r="F403" s="514"/>
      <c r="G403" s="577"/>
      <c r="H403" s="577"/>
      <c r="I403" s="515"/>
      <c r="J403" s="882"/>
      <c r="K403" s="515"/>
      <c r="N403" s="515"/>
      <c r="O403" s="515"/>
    </row>
    <row r="404" spans="1:15">
      <c r="A404" s="547"/>
      <c r="B404" s="880"/>
      <c r="C404" s="514"/>
      <c r="D404" s="514"/>
      <c r="E404" s="514"/>
      <c r="F404" s="514"/>
      <c r="G404" s="577"/>
      <c r="H404" s="577"/>
      <c r="I404" s="515"/>
      <c r="J404" s="882"/>
      <c r="K404" s="515"/>
      <c r="N404" s="515"/>
      <c r="O404" s="515"/>
    </row>
    <row r="405" spans="1:15">
      <c r="A405" s="547"/>
      <c r="B405" s="880"/>
      <c r="C405" s="514"/>
      <c r="D405" s="577"/>
      <c r="E405" s="577"/>
      <c r="F405" s="577"/>
      <c r="G405" s="514"/>
      <c r="H405" s="577"/>
      <c r="I405" s="515"/>
      <c r="J405" s="882"/>
      <c r="K405" s="515"/>
      <c r="N405" s="515"/>
      <c r="O405" s="515"/>
    </row>
    <row r="406" spans="1:15">
      <c r="A406" s="547"/>
      <c r="B406" s="880"/>
      <c r="C406" s="514"/>
      <c r="D406" s="514"/>
      <c r="E406" s="514"/>
      <c r="F406" s="514"/>
      <c r="G406" s="577"/>
      <c r="H406" s="577"/>
      <c r="I406" s="515"/>
      <c r="J406" s="882"/>
      <c r="K406" s="515"/>
      <c r="N406" s="515"/>
      <c r="O406" s="515"/>
    </row>
    <row r="407" spans="1:15">
      <c r="A407" s="547"/>
      <c r="B407" s="880"/>
      <c r="C407" s="514"/>
      <c r="D407" s="514"/>
      <c r="E407" s="514"/>
      <c r="F407" s="514"/>
      <c r="G407" s="577"/>
      <c r="H407" s="577"/>
      <c r="I407" s="515"/>
      <c r="J407" s="882"/>
      <c r="K407" s="515"/>
      <c r="N407" s="515"/>
      <c r="O407" s="515"/>
    </row>
  </sheetData>
  <mergeCells count="1">
    <mergeCell ref="A3:J3"/>
  </mergeCells>
  <pageMargins left="0.7" right="0.7" top="0.75" bottom="0.75" header="0.3" footer="0.3"/>
  <pageSetup scale="85" orientation="portrait" r:id="rId1"/>
  <rowBreaks count="2" manualBreakCount="2">
    <brk id="128" max="9" man="1"/>
    <brk id="17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topLeftCell="A34" zoomScale="60" zoomScaleNormal="70" workbookViewId="0">
      <selection activeCell="J46" sqref="J46"/>
    </sheetView>
  </sheetViews>
  <sheetFormatPr defaultColWidth="9" defaultRowHeight="15.75"/>
  <cols>
    <col min="1" max="1" width="6.375" style="644" customWidth="1"/>
    <col min="2" max="2" width="35.875" style="644" customWidth="1"/>
    <col min="3" max="3" width="54.875" style="644" customWidth="1"/>
    <col min="4" max="4" width="9.875" style="644" customWidth="1"/>
    <col min="5" max="5" width="12.375" style="644" customWidth="1"/>
    <col min="6" max="6" width="12.5" style="644" customWidth="1"/>
    <col min="7" max="16384" width="9" style="644"/>
  </cols>
  <sheetData>
    <row r="1" spans="1:6">
      <c r="B1" s="1101" t="s">
        <v>560</v>
      </c>
      <c r="C1" s="1101"/>
      <c r="D1" s="514"/>
      <c r="E1" s="514"/>
      <c r="F1" s="514"/>
    </row>
    <row r="2" spans="1:6">
      <c r="B2" s="1102" t="s">
        <v>561</v>
      </c>
      <c r="C2" s="1102"/>
      <c r="D2" s="514"/>
      <c r="E2" s="514"/>
      <c r="F2" s="514"/>
    </row>
    <row r="3" spans="1:6" ht="32.25" thickBot="1">
      <c r="A3" s="253" t="s">
        <v>888</v>
      </c>
      <c r="B3" s="556" t="s">
        <v>889</v>
      </c>
      <c r="C3" s="557"/>
      <c r="D3" s="253" t="s">
        <v>1891</v>
      </c>
      <c r="E3" s="254" t="s">
        <v>891</v>
      </c>
      <c r="F3" s="255" t="s">
        <v>892</v>
      </c>
    </row>
    <row r="4" spans="1:6" ht="16.5" thickTop="1">
      <c r="A4" s="913" t="s">
        <v>0</v>
      </c>
      <c r="B4" s="914" t="s">
        <v>1890</v>
      </c>
      <c r="C4" s="915"/>
      <c r="D4" s="558"/>
      <c r="E4" s="916"/>
      <c r="F4" s="917"/>
    </row>
    <row r="5" spans="1:6">
      <c r="A5" s="918"/>
      <c r="B5" s="919" t="s">
        <v>562</v>
      </c>
      <c r="C5" s="920" t="s">
        <v>592</v>
      </c>
      <c r="D5" s="921"/>
      <c r="E5" s="922"/>
      <c r="F5" s="923"/>
    </row>
    <row r="6" spans="1:6">
      <c r="A6" s="918"/>
      <c r="B6" s="919" t="s">
        <v>563</v>
      </c>
      <c r="C6" s="924">
        <v>1</v>
      </c>
      <c r="D6" s="921"/>
      <c r="E6" s="922"/>
      <c r="F6" s="923"/>
    </row>
    <row r="7" spans="1:6">
      <c r="A7" s="918"/>
      <c r="B7" s="919" t="s">
        <v>564</v>
      </c>
      <c r="C7" s="920" t="s">
        <v>593</v>
      </c>
      <c r="D7" s="921"/>
      <c r="E7" s="922"/>
      <c r="F7" s="923"/>
    </row>
    <row r="8" spans="1:6">
      <c r="A8" s="918"/>
      <c r="B8" s="919" t="s">
        <v>565</v>
      </c>
      <c r="C8" s="920" t="s">
        <v>594</v>
      </c>
      <c r="D8" s="921"/>
      <c r="E8" s="922"/>
      <c r="F8" s="923"/>
    </row>
    <row r="9" spans="1:6">
      <c r="A9" s="918"/>
      <c r="B9" s="919" t="s">
        <v>566</v>
      </c>
      <c r="C9" s="920" t="s">
        <v>595</v>
      </c>
      <c r="D9" s="921"/>
      <c r="E9" s="922"/>
      <c r="F9" s="923"/>
    </row>
    <row r="10" spans="1:6">
      <c r="A10" s="918"/>
      <c r="B10" s="919" t="s">
        <v>567</v>
      </c>
      <c r="C10" s="920" t="s">
        <v>596</v>
      </c>
      <c r="D10" s="921"/>
      <c r="E10" s="922"/>
      <c r="F10" s="923"/>
    </row>
    <row r="11" spans="1:6" ht="31.5">
      <c r="A11" s="918"/>
      <c r="B11" s="919" t="s">
        <v>568</v>
      </c>
      <c r="C11" s="920" t="s">
        <v>597</v>
      </c>
      <c r="D11" s="921"/>
      <c r="E11" s="922"/>
      <c r="F11" s="923"/>
    </row>
    <row r="12" spans="1:6">
      <c r="A12" s="918"/>
      <c r="B12" s="919" t="s">
        <v>569</v>
      </c>
      <c r="C12" s="920" t="s">
        <v>598</v>
      </c>
      <c r="D12" s="921"/>
      <c r="E12" s="922"/>
      <c r="F12" s="923"/>
    </row>
    <row r="13" spans="1:6">
      <c r="A13" s="918"/>
      <c r="B13" s="919" t="s">
        <v>570</v>
      </c>
      <c r="C13" s="920" t="s">
        <v>599</v>
      </c>
      <c r="D13" s="921"/>
      <c r="E13" s="922"/>
      <c r="F13" s="923"/>
    </row>
    <row r="14" spans="1:6" ht="47.25">
      <c r="A14" s="918"/>
      <c r="B14" s="919" t="s">
        <v>571</v>
      </c>
      <c r="C14" s="924" t="s">
        <v>600</v>
      </c>
      <c r="D14" s="921"/>
      <c r="E14" s="922"/>
      <c r="F14" s="923"/>
    </row>
    <row r="15" spans="1:6" ht="63">
      <c r="A15" s="918"/>
      <c r="B15" s="919" t="s">
        <v>572</v>
      </c>
      <c r="C15" s="924" t="s">
        <v>601</v>
      </c>
      <c r="D15" s="921"/>
      <c r="E15" s="922"/>
      <c r="F15" s="923"/>
    </row>
    <row r="16" spans="1:6" ht="110.25">
      <c r="A16" s="918"/>
      <c r="B16" s="919" t="s">
        <v>573</v>
      </c>
      <c r="C16" s="924" t="s">
        <v>602</v>
      </c>
      <c r="D16" s="921"/>
      <c r="E16" s="922"/>
      <c r="F16" s="923"/>
    </row>
    <row r="17" spans="1:6" ht="78.75">
      <c r="A17" s="918"/>
      <c r="B17" s="919" t="s">
        <v>574</v>
      </c>
      <c r="C17" s="924" t="s">
        <v>603</v>
      </c>
      <c r="D17" s="921"/>
      <c r="E17" s="922"/>
      <c r="F17" s="923"/>
    </row>
    <row r="18" spans="1:6" ht="31.5">
      <c r="A18" s="918"/>
      <c r="B18" s="925" t="s">
        <v>575</v>
      </c>
      <c r="C18" s="926" t="s">
        <v>604</v>
      </c>
      <c r="D18" s="921"/>
      <c r="E18" s="922"/>
      <c r="F18" s="923"/>
    </row>
    <row r="19" spans="1:6" ht="31.5">
      <c r="A19" s="918"/>
      <c r="B19" s="919" t="s">
        <v>576</v>
      </c>
      <c r="C19" s="924" t="s">
        <v>605</v>
      </c>
      <c r="D19" s="921"/>
      <c r="E19" s="922"/>
      <c r="F19" s="923"/>
    </row>
    <row r="20" spans="1:6">
      <c r="A20" s="918"/>
      <c r="B20" s="919" t="s">
        <v>577</v>
      </c>
      <c r="C20" s="927" t="s">
        <v>606</v>
      </c>
      <c r="D20" s="921"/>
      <c r="E20" s="922"/>
      <c r="F20" s="923"/>
    </row>
    <row r="21" spans="1:6" ht="63">
      <c r="A21" s="918"/>
      <c r="B21" s="919" t="s">
        <v>578</v>
      </c>
      <c r="C21" s="924" t="s">
        <v>607</v>
      </c>
      <c r="D21" s="921"/>
      <c r="E21" s="922"/>
      <c r="F21" s="923"/>
    </row>
    <row r="22" spans="1:6">
      <c r="A22" s="918"/>
      <c r="B22" s="919" t="s">
        <v>579</v>
      </c>
      <c r="C22" s="761" t="s">
        <v>608</v>
      </c>
      <c r="D22" s="921"/>
      <c r="E22" s="922"/>
      <c r="F22" s="923"/>
    </row>
    <row r="23" spans="1:6" ht="94.5">
      <c r="A23" s="918"/>
      <c r="B23" s="919" t="s">
        <v>580</v>
      </c>
      <c r="C23" s="924" t="s">
        <v>609</v>
      </c>
      <c r="D23" s="921"/>
      <c r="E23" s="922"/>
      <c r="F23" s="923"/>
    </row>
    <row r="24" spans="1:6">
      <c r="A24" s="918"/>
      <c r="B24" s="919" t="s">
        <v>581</v>
      </c>
      <c r="C24" s="761" t="s">
        <v>610</v>
      </c>
      <c r="D24" s="921"/>
      <c r="E24" s="922"/>
      <c r="F24" s="923"/>
    </row>
    <row r="25" spans="1:6">
      <c r="A25" s="918"/>
      <c r="B25" s="919" t="s">
        <v>582</v>
      </c>
      <c r="C25" s="920" t="s">
        <v>611</v>
      </c>
      <c r="D25" s="921"/>
      <c r="E25" s="922"/>
      <c r="F25" s="923"/>
    </row>
    <row r="26" spans="1:6">
      <c r="A26" s="918"/>
      <c r="B26" s="919" t="s">
        <v>583</v>
      </c>
      <c r="C26" s="920" t="s">
        <v>612</v>
      </c>
      <c r="D26" s="921"/>
      <c r="E26" s="922"/>
      <c r="F26" s="923"/>
    </row>
    <row r="27" spans="1:6" ht="47.25">
      <c r="A27" s="918"/>
      <c r="B27" s="919" t="s">
        <v>584</v>
      </c>
      <c r="C27" s="924" t="s">
        <v>613</v>
      </c>
      <c r="D27" s="921"/>
      <c r="E27" s="922"/>
      <c r="F27" s="923"/>
    </row>
    <row r="28" spans="1:6" ht="31.5">
      <c r="A28" s="918"/>
      <c r="B28" s="919" t="s">
        <v>585</v>
      </c>
      <c r="C28" s="760" t="s">
        <v>614</v>
      </c>
      <c r="D28" s="921"/>
      <c r="E28" s="922"/>
      <c r="F28" s="923"/>
    </row>
    <row r="29" spans="1:6" ht="78.75">
      <c r="A29" s="918"/>
      <c r="B29" s="919" t="s">
        <v>586</v>
      </c>
      <c r="C29" s="924" t="s">
        <v>615</v>
      </c>
      <c r="D29" s="921"/>
      <c r="E29" s="922"/>
      <c r="F29" s="923"/>
    </row>
    <row r="30" spans="1:6">
      <c r="A30" s="918"/>
      <c r="B30" s="919" t="s">
        <v>587</v>
      </c>
      <c r="C30" s="920" t="s">
        <v>616</v>
      </c>
      <c r="D30" s="921"/>
      <c r="E30" s="922"/>
      <c r="F30" s="923"/>
    </row>
    <row r="31" spans="1:6">
      <c r="A31" s="918"/>
      <c r="B31" s="919" t="s">
        <v>588</v>
      </c>
      <c r="C31" s="920" t="s">
        <v>617</v>
      </c>
      <c r="D31" s="921"/>
      <c r="E31" s="922"/>
      <c r="F31" s="923"/>
    </row>
    <row r="32" spans="1:6">
      <c r="A32" s="918"/>
      <c r="B32" s="919" t="s">
        <v>589</v>
      </c>
      <c r="C32" s="920" t="s">
        <v>618</v>
      </c>
      <c r="D32" s="921"/>
      <c r="E32" s="922"/>
      <c r="F32" s="923"/>
    </row>
    <row r="33" spans="1:6" ht="47.25">
      <c r="A33" s="918"/>
      <c r="B33" s="919" t="s">
        <v>590</v>
      </c>
      <c r="C33" s="924" t="s">
        <v>619</v>
      </c>
      <c r="D33" s="921"/>
      <c r="E33" s="922"/>
      <c r="F33" s="923"/>
    </row>
    <row r="34" spans="1:6" ht="31.5">
      <c r="A34" s="928"/>
      <c r="B34" s="929" t="s">
        <v>591</v>
      </c>
      <c r="C34" s="930" t="s">
        <v>620</v>
      </c>
      <c r="D34" s="931">
        <v>1</v>
      </c>
      <c r="E34" s="932"/>
      <c r="F34" s="933"/>
    </row>
    <row r="35" spans="1:6">
      <c r="B35" s="514"/>
      <c r="C35" s="514"/>
      <c r="D35" s="514"/>
      <c r="E35" s="514"/>
      <c r="F35" s="514"/>
    </row>
    <row r="36" spans="1:6">
      <c r="B36" s="934"/>
      <c r="C36" s="514"/>
      <c r="D36" s="514"/>
      <c r="E36" s="514"/>
      <c r="F36" s="514"/>
    </row>
    <row r="37" spans="1:6">
      <c r="B37" s="935"/>
      <c r="C37" s="936"/>
      <c r="D37" s="514"/>
      <c r="E37" s="514"/>
      <c r="F37" s="514"/>
    </row>
    <row r="38" spans="1:6">
      <c r="B38" s="514"/>
      <c r="C38" s="514"/>
      <c r="D38" s="514"/>
      <c r="E38" s="514"/>
      <c r="F38" s="514"/>
    </row>
    <row r="39" spans="1:6">
      <c r="B39" s="514"/>
      <c r="C39" s="514"/>
      <c r="D39" s="514"/>
      <c r="E39" s="514"/>
      <c r="F39" s="514"/>
    </row>
    <row r="40" spans="1:6">
      <c r="B40" s="514"/>
      <c r="C40" s="578"/>
      <c r="D40" s="514"/>
      <c r="E40" s="514"/>
      <c r="F40" s="514"/>
    </row>
    <row r="41" spans="1:6">
      <c r="B41" s="514"/>
      <c r="C41" s="514"/>
      <c r="D41" s="514"/>
      <c r="E41" s="514"/>
      <c r="F41" s="514"/>
    </row>
    <row r="42" spans="1:6">
      <c r="B42" s="514"/>
      <c r="C42" s="578"/>
      <c r="D42" s="514"/>
      <c r="E42" s="514"/>
      <c r="F42" s="514"/>
    </row>
    <row r="43" spans="1:6">
      <c r="B43" s="514"/>
      <c r="C43" s="514"/>
      <c r="D43" s="514"/>
      <c r="E43" s="514"/>
      <c r="F43" s="514"/>
    </row>
  </sheetData>
  <mergeCells count="2">
    <mergeCell ref="B1:C1"/>
    <mergeCell ref="B2:C2"/>
  </mergeCells>
  <pageMargins left="0.25" right="0.25" top="0.75" bottom="0.75" header="0.3" footer="0.3"/>
  <pageSetup paperSize="9" scale="66"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topLeftCell="A25" zoomScale="90" zoomScaleNormal="100" zoomScaleSheetLayoutView="90" workbookViewId="0">
      <selection activeCell="L29" sqref="L29"/>
    </sheetView>
  </sheetViews>
  <sheetFormatPr defaultColWidth="6.625" defaultRowHeight="12.75"/>
  <cols>
    <col min="1" max="1" width="5.875" style="47" bestFit="1" customWidth="1"/>
    <col min="2" max="2" width="33.75" style="48" customWidth="1"/>
    <col min="3" max="3" width="7.375" style="47" bestFit="1" customWidth="1"/>
    <col min="4" max="4" width="9.625" style="47" customWidth="1"/>
    <col min="5" max="5" width="11" style="48" customWidth="1"/>
    <col min="6" max="6" width="12.375" style="47" customWidth="1"/>
    <col min="7" max="254" width="6.625" style="48"/>
    <col min="255" max="255" width="5.875" style="48" bestFit="1" customWidth="1"/>
    <col min="256" max="256" width="68.5" style="48" customWidth="1"/>
    <col min="257" max="257" width="7.375" style="48" bestFit="1" customWidth="1"/>
    <col min="258" max="258" width="9.625" style="48" customWidth="1"/>
    <col min="259" max="259" width="11" style="48" customWidth="1"/>
    <col min="260" max="260" width="12.375" style="48" customWidth="1"/>
    <col min="261" max="510" width="6.625" style="48"/>
    <col min="511" max="511" width="5.875" style="48" bestFit="1" customWidth="1"/>
    <col min="512" max="512" width="68.5" style="48" customWidth="1"/>
    <col min="513" max="513" width="7.375" style="48" bestFit="1" customWidth="1"/>
    <col min="514" max="514" width="9.625" style="48" customWidth="1"/>
    <col min="515" max="515" width="11" style="48" customWidth="1"/>
    <col min="516" max="516" width="12.375" style="48" customWidth="1"/>
    <col min="517" max="766" width="6.625" style="48"/>
    <col min="767" max="767" width="5.875" style="48" bestFit="1" customWidth="1"/>
    <col min="768" max="768" width="68.5" style="48" customWidth="1"/>
    <col min="769" max="769" width="7.375" style="48" bestFit="1" customWidth="1"/>
    <col min="770" max="770" width="9.625" style="48" customWidth="1"/>
    <col min="771" max="771" width="11" style="48" customWidth="1"/>
    <col min="772" max="772" width="12.375" style="48" customWidth="1"/>
    <col min="773" max="1022" width="6.625" style="48"/>
    <col min="1023" max="1023" width="5.875" style="48" bestFit="1" customWidth="1"/>
    <col min="1024" max="1024" width="68.5" style="48" customWidth="1"/>
    <col min="1025" max="1025" width="7.375" style="48" bestFit="1" customWidth="1"/>
    <col min="1026" max="1026" width="9.625" style="48" customWidth="1"/>
    <col min="1027" max="1027" width="11" style="48" customWidth="1"/>
    <col min="1028" max="1028" width="12.375" style="48" customWidth="1"/>
    <col min="1029" max="1278" width="6.625" style="48"/>
    <col min="1279" max="1279" width="5.875" style="48" bestFit="1" customWidth="1"/>
    <col min="1280" max="1280" width="68.5" style="48" customWidth="1"/>
    <col min="1281" max="1281" width="7.375" style="48" bestFit="1" customWidth="1"/>
    <col min="1282" max="1282" width="9.625" style="48" customWidth="1"/>
    <col min="1283" max="1283" width="11" style="48" customWidth="1"/>
    <col min="1284" max="1284" width="12.375" style="48" customWidth="1"/>
    <col min="1285" max="1534" width="6.625" style="48"/>
    <col min="1535" max="1535" width="5.875" style="48" bestFit="1" customWidth="1"/>
    <col min="1536" max="1536" width="68.5" style="48" customWidth="1"/>
    <col min="1537" max="1537" width="7.375" style="48" bestFit="1" customWidth="1"/>
    <col min="1538" max="1538" width="9.625" style="48" customWidth="1"/>
    <col min="1539" max="1539" width="11" style="48" customWidth="1"/>
    <col min="1540" max="1540" width="12.375" style="48" customWidth="1"/>
    <col min="1541" max="1790" width="6.625" style="48"/>
    <col min="1791" max="1791" width="5.875" style="48" bestFit="1" customWidth="1"/>
    <col min="1792" max="1792" width="68.5" style="48" customWidth="1"/>
    <col min="1793" max="1793" width="7.375" style="48" bestFit="1" customWidth="1"/>
    <col min="1794" max="1794" width="9.625" style="48" customWidth="1"/>
    <col min="1795" max="1795" width="11" style="48" customWidth="1"/>
    <col min="1796" max="1796" width="12.375" style="48" customWidth="1"/>
    <col min="1797" max="2046" width="6.625" style="48"/>
    <col min="2047" max="2047" width="5.875" style="48" bestFit="1" customWidth="1"/>
    <col min="2048" max="2048" width="68.5" style="48" customWidth="1"/>
    <col min="2049" max="2049" width="7.375" style="48" bestFit="1" customWidth="1"/>
    <col min="2050" max="2050" width="9.625" style="48" customWidth="1"/>
    <col min="2051" max="2051" width="11" style="48" customWidth="1"/>
    <col min="2052" max="2052" width="12.375" style="48" customWidth="1"/>
    <col min="2053" max="2302" width="6.625" style="48"/>
    <col min="2303" max="2303" width="5.875" style="48" bestFit="1" customWidth="1"/>
    <col min="2304" max="2304" width="68.5" style="48" customWidth="1"/>
    <col min="2305" max="2305" width="7.375" style="48" bestFit="1" customWidth="1"/>
    <col min="2306" max="2306" width="9.625" style="48" customWidth="1"/>
    <col min="2307" max="2307" width="11" style="48" customWidth="1"/>
    <col min="2308" max="2308" width="12.375" style="48" customWidth="1"/>
    <col min="2309" max="2558" width="6.625" style="48"/>
    <col min="2559" max="2559" width="5.875" style="48" bestFit="1" customWidth="1"/>
    <col min="2560" max="2560" width="68.5" style="48" customWidth="1"/>
    <col min="2561" max="2561" width="7.375" style="48" bestFit="1" customWidth="1"/>
    <col min="2562" max="2562" width="9.625" style="48" customWidth="1"/>
    <col min="2563" max="2563" width="11" style="48" customWidth="1"/>
    <col min="2564" max="2564" width="12.375" style="48" customWidth="1"/>
    <col min="2565" max="2814" width="6.625" style="48"/>
    <col min="2815" max="2815" width="5.875" style="48" bestFit="1" customWidth="1"/>
    <col min="2816" max="2816" width="68.5" style="48" customWidth="1"/>
    <col min="2817" max="2817" width="7.375" style="48" bestFit="1" customWidth="1"/>
    <col min="2818" max="2818" width="9.625" style="48" customWidth="1"/>
    <col min="2819" max="2819" width="11" style="48" customWidth="1"/>
    <col min="2820" max="2820" width="12.375" style="48" customWidth="1"/>
    <col min="2821" max="3070" width="6.625" style="48"/>
    <col min="3071" max="3071" width="5.875" style="48" bestFit="1" customWidth="1"/>
    <col min="3072" max="3072" width="68.5" style="48" customWidth="1"/>
    <col min="3073" max="3073" width="7.375" style="48" bestFit="1" customWidth="1"/>
    <col min="3074" max="3074" width="9.625" style="48" customWidth="1"/>
    <col min="3075" max="3075" width="11" style="48" customWidth="1"/>
    <col min="3076" max="3076" width="12.375" style="48" customWidth="1"/>
    <col min="3077" max="3326" width="6.625" style="48"/>
    <col min="3327" max="3327" width="5.875" style="48" bestFit="1" customWidth="1"/>
    <col min="3328" max="3328" width="68.5" style="48" customWidth="1"/>
    <col min="3329" max="3329" width="7.375" style="48" bestFit="1" customWidth="1"/>
    <col min="3330" max="3330" width="9.625" style="48" customWidth="1"/>
    <col min="3331" max="3331" width="11" style="48" customWidth="1"/>
    <col min="3332" max="3332" width="12.375" style="48" customWidth="1"/>
    <col min="3333" max="3582" width="6.625" style="48"/>
    <col min="3583" max="3583" width="5.875" style="48" bestFit="1" customWidth="1"/>
    <col min="3584" max="3584" width="68.5" style="48" customWidth="1"/>
    <col min="3585" max="3585" width="7.375" style="48" bestFit="1" customWidth="1"/>
    <col min="3586" max="3586" width="9.625" style="48" customWidth="1"/>
    <col min="3587" max="3587" width="11" style="48" customWidth="1"/>
    <col min="3588" max="3588" width="12.375" style="48" customWidth="1"/>
    <col min="3589" max="3838" width="6.625" style="48"/>
    <col min="3839" max="3839" width="5.875" style="48" bestFit="1" customWidth="1"/>
    <col min="3840" max="3840" width="68.5" style="48" customWidth="1"/>
    <col min="3841" max="3841" width="7.375" style="48" bestFit="1" customWidth="1"/>
    <col min="3842" max="3842" width="9.625" style="48" customWidth="1"/>
    <col min="3843" max="3843" width="11" style="48" customWidth="1"/>
    <col min="3844" max="3844" width="12.375" style="48" customWidth="1"/>
    <col min="3845" max="4094" width="6.625" style="48"/>
    <col min="4095" max="4095" width="5.875" style="48" bestFit="1" customWidth="1"/>
    <col min="4096" max="4096" width="68.5" style="48" customWidth="1"/>
    <col min="4097" max="4097" width="7.375" style="48" bestFit="1" customWidth="1"/>
    <col min="4098" max="4098" width="9.625" style="48" customWidth="1"/>
    <col min="4099" max="4099" width="11" style="48" customWidth="1"/>
    <col min="4100" max="4100" width="12.375" style="48" customWidth="1"/>
    <col min="4101" max="4350" width="6.625" style="48"/>
    <col min="4351" max="4351" width="5.875" style="48" bestFit="1" customWidth="1"/>
    <col min="4352" max="4352" width="68.5" style="48" customWidth="1"/>
    <col min="4353" max="4353" width="7.375" style="48" bestFit="1" customWidth="1"/>
    <col min="4354" max="4354" width="9.625" style="48" customWidth="1"/>
    <col min="4355" max="4355" width="11" style="48" customWidth="1"/>
    <col min="4356" max="4356" width="12.375" style="48" customWidth="1"/>
    <col min="4357" max="4606" width="6.625" style="48"/>
    <col min="4607" max="4607" width="5.875" style="48" bestFit="1" customWidth="1"/>
    <col min="4608" max="4608" width="68.5" style="48" customWidth="1"/>
    <col min="4609" max="4609" width="7.375" style="48" bestFit="1" customWidth="1"/>
    <col min="4610" max="4610" width="9.625" style="48" customWidth="1"/>
    <col min="4611" max="4611" width="11" style="48" customWidth="1"/>
    <col min="4612" max="4612" width="12.375" style="48" customWidth="1"/>
    <col min="4613" max="4862" width="6.625" style="48"/>
    <col min="4863" max="4863" width="5.875" style="48" bestFit="1" customWidth="1"/>
    <col min="4864" max="4864" width="68.5" style="48" customWidth="1"/>
    <col min="4865" max="4865" width="7.375" style="48" bestFit="1" customWidth="1"/>
    <col min="4866" max="4866" width="9.625" style="48" customWidth="1"/>
    <col min="4867" max="4867" width="11" style="48" customWidth="1"/>
    <col min="4868" max="4868" width="12.375" style="48" customWidth="1"/>
    <col min="4869" max="5118" width="6.625" style="48"/>
    <col min="5119" max="5119" width="5.875" style="48" bestFit="1" customWidth="1"/>
    <col min="5120" max="5120" width="68.5" style="48" customWidth="1"/>
    <col min="5121" max="5121" width="7.375" style="48" bestFit="1" customWidth="1"/>
    <col min="5122" max="5122" width="9.625" style="48" customWidth="1"/>
    <col min="5123" max="5123" width="11" style="48" customWidth="1"/>
    <col min="5124" max="5124" width="12.375" style="48" customWidth="1"/>
    <col min="5125" max="5374" width="6.625" style="48"/>
    <col min="5375" max="5375" width="5.875" style="48" bestFit="1" customWidth="1"/>
    <col min="5376" max="5376" width="68.5" style="48" customWidth="1"/>
    <col min="5377" max="5377" width="7.375" style="48" bestFit="1" customWidth="1"/>
    <col min="5378" max="5378" width="9.625" style="48" customWidth="1"/>
    <col min="5379" max="5379" width="11" style="48" customWidth="1"/>
    <col min="5380" max="5380" width="12.375" style="48" customWidth="1"/>
    <col min="5381" max="5630" width="6.625" style="48"/>
    <col min="5631" max="5631" width="5.875" style="48" bestFit="1" customWidth="1"/>
    <col min="5632" max="5632" width="68.5" style="48" customWidth="1"/>
    <col min="5633" max="5633" width="7.375" style="48" bestFit="1" customWidth="1"/>
    <col min="5634" max="5634" width="9.625" style="48" customWidth="1"/>
    <col min="5635" max="5635" width="11" style="48" customWidth="1"/>
    <col min="5636" max="5636" width="12.375" style="48" customWidth="1"/>
    <col min="5637" max="5886" width="6.625" style="48"/>
    <col min="5887" max="5887" width="5.875" style="48" bestFit="1" customWidth="1"/>
    <col min="5888" max="5888" width="68.5" style="48" customWidth="1"/>
    <col min="5889" max="5889" width="7.375" style="48" bestFit="1" customWidth="1"/>
    <col min="5890" max="5890" width="9.625" style="48" customWidth="1"/>
    <col min="5891" max="5891" width="11" style="48" customWidth="1"/>
    <col min="5892" max="5892" width="12.375" style="48" customWidth="1"/>
    <col min="5893" max="6142" width="6.625" style="48"/>
    <col min="6143" max="6143" width="5.875" style="48" bestFit="1" customWidth="1"/>
    <col min="6144" max="6144" width="68.5" style="48" customWidth="1"/>
    <col min="6145" max="6145" width="7.375" style="48" bestFit="1" customWidth="1"/>
    <col min="6146" max="6146" width="9.625" style="48" customWidth="1"/>
    <col min="6147" max="6147" width="11" style="48" customWidth="1"/>
    <col min="6148" max="6148" width="12.375" style="48" customWidth="1"/>
    <col min="6149" max="6398" width="6.625" style="48"/>
    <col min="6399" max="6399" width="5.875" style="48" bestFit="1" customWidth="1"/>
    <col min="6400" max="6400" width="68.5" style="48" customWidth="1"/>
    <col min="6401" max="6401" width="7.375" style="48" bestFit="1" customWidth="1"/>
    <col min="6402" max="6402" width="9.625" style="48" customWidth="1"/>
    <col min="6403" max="6403" width="11" style="48" customWidth="1"/>
    <col min="6404" max="6404" width="12.375" style="48" customWidth="1"/>
    <col min="6405" max="6654" width="6.625" style="48"/>
    <col min="6655" max="6655" width="5.875" style="48" bestFit="1" customWidth="1"/>
    <col min="6656" max="6656" width="68.5" style="48" customWidth="1"/>
    <col min="6657" max="6657" width="7.375" style="48" bestFit="1" customWidth="1"/>
    <col min="6658" max="6658" width="9.625" style="48" customWidth="1"/>
    <col min="6659" max="6659" width="11" style="48" customWidth="1"/>
    <col min="6660" max="6660" width="12.375" style="48" customWidth="1"/>
    <col min="6661" max="6910" width="6.625" style="48"/>
    <col min="6911" max="6911" width="5.875" style="48" bestFit="1" customWidth="1"/>
    <col min="6912" max="6912" width="68.5" style="48" customWidth="1"/>
    <col min="6913" max="6913" width="7.375" style="48" bestFit="1" customWidth="1"/>
    <col min="6914" max="6914" width="9.625" style="48" customWidth="1"/>
    <col min="6915" max="6915" width="11" style="48" customWidth="1"/>
    <col min="6916" max="6916" width="12.375" style="48" customWidth="1"/>
    <col min="6917" max="7166" width="6.625" style="48"/>
    <col min="7167" max="7167" width="5.875" style="48" bestFit="1" customWidth="1"/>
    <col min="7168" max="7168" width="68.5" style="48" customWidth="1"/>
    <col min="7169" max="7169" width="7.375" style="48" bestFit="1" customWidth="1"/>
    <col min="7170" max="7170" width="9.625" style="48" customWidth="1"/>
    <col min="7171" max="7171" width="11" style="48" customWidth="1"/>
    <col min="7172" max="7172" width="12.375" style="48" customWidth="1"/>
    <col min="7173" max="7422" width="6.625" style="48"/>
    <col min="7423" max="7423" width="5.875" style="48" bestFit="1" customWidth="1"/>
    <col min="7424" max="7424" width="68.5" style="48" customWidth="1"/>
    <col min="7425" max="7425" width="7.375" style="48" bestFit="1" customWidth="1"/>
    <col min="7426" max="7426" width="9.625" style="48" customWidth="1"/>
    <col min="7427" max="7427" width="11" style="48" customWidth="1"/>
    <col min="7428" max="7428" width="12.375" style="48" customWidth="1"/>
    <col min="7429" max="7678" width="6.625" style="48"/>
    <col min="7679" max="7679" width="5.875" style="48" bestFit="1" customWidth="1"/>
    <col min="7680" max="7680" width="68.5" style="48" customWidth="1"/>
    <col min="7681" max="7681" width="7.375" style="48" bestFit="1" customWidth="1"/>
    <col min="7682" max="7682" width="9.625" style="48" customWidth="1"/>
    <col min="7683" max="7683" width="11" style="48" customWidth="1"/>
    <col min="7684" max="7684" width="12.375" style="48" customWidth="1"/>
    <col min="7685" max="7934" width="6.625" style="48"/>
    <col min="7935" max="7935" width="5.875" style="48" bestFit="1" customWidth="1"/>
    <col min="7936" max="7936" width="68.5" style="48" customWidth="1"/>
    <col min="7937" max="7937" width="7.375" style="48" bestFit="1" customWidth="1"/>
    <col min="7938" max="7938" width="9.625" style="48" customWidth="1"/>
    <col min="7939" max="7939" width="11" style="48" customWidth="1"/>
    <col min="7940" max="7940" width="12.375" style="48" customWidth="1"/>
    <col min="7941" max="8190" width="6.625" style="48"/>
    <col min="8191" max="8191" width="5.875" style="48" bestFit="1" customWidth="1"/>
    <col min="8192" max="8192" width="68.5" style="48" customWidth="1"/>
    <col min="8193" max="8193" width="7.375" style="48" bestFit="1" customWidth="1"/>
    <col min="8194" max="8194" width="9.625" style="48" customWidth="1"/>
    <col min="8195" max="8195" width="11" style="48" customWidth="1"/>
    <col min="8196" max="8196" width="12.375" style="48" customWidth="1"/>
    <col min="8197" max="8446" width="6.625" style="48"/>
    <col min="8447" max="8447" width="5.875" style="48" bestFit="1" customWidth="1"/>
    <col min="8448" max="8448" width="68.5" style="48" customWidth="1"/>
    <col min="8449" max="8449" width="7.375" style="48" bestFit="1" customWidth="1"/>
    <col min="8450" max="8450" width="9.625" style="48" customWidth="1"/>
    <col min="8451" max="8451" width="11" style="48" customWidth="1"/>
    <col min="8452" max="8452" width="12.375" style="48" customWidth="1"/>
    <col min="8453" max="8702" width="6.625" style="48"/>
    <col min="8703" max="8703" width="5.875" style="48" bestFit="1" customWidth="1"/>
    <col min="8704" max="8704" width="68.5" style="48" customWidth="1"/>
    <col min="8705" max="8705" width="7.375" style="48" bestFit="1" customWidth="1"/>
    <col min="8706" max="8706" width="9.625" style="48" customWidth="1"/>
    <col min="8707" max="8707" width="11" style="48" customWidth="1"/>
    <col min="8708" max="8708" width="12.375" style="48" customWidth="1"/>
    <col min="8709" max="8958" width="6.625" style="48"/>
    <col min="8959" max="8959" width="5.875" style="48" bestFit="1" customWidth="1"/>
    <col min="8960" max="8960" width="68.5" style="48" customWidth="1"/>
    <col min="8961" max="8961" width="7.375" style="48" bestFit="1" customWidth="1"/>
    <col min="8962" max="8962" width="9.625" style="48" customWidth="1"/>
    <col min="8963" max="8963" width="11" style="48" customWidth="1"/>
    <col min="8964" max="8964" width="12.375" style="48" customWidth="1"/>
    <col min="8965" max="9214" width="6.625" style="48"/>
    <col min="9215" max="9215" width="5.875" style="48" bestFit="1" customWidth="1"/>
    <col min="9216" max="9216" width="68.5" style="48" customWidth="1"/>
    <col min="9217" max="9217" width="7.375" style="48" bestFit="1" customWidth="1"/>
    <col min="9218" max="9218" width="9.625" style="48" customWidth="1"/>
    <col min="9219" max="9219" width="11" style="48" customWidth="1"/>
    <col min="9220" max="9220" width="12.375" style="48" customWidth="1"/>
    <col min="9221" max="9470" width="6.625" style="48"/>
    <col min="9471" max="9471" width="5.875" style="48" bestFit="1" customWidth="1"/>
    <col min="9472" max="9472" width="68.5" style="48" customWidth="1"/>
    <col min="9473" max="9473" width="7.375" style="48" bestFit="1" customWidth="1"/>
    <col min="9474" max="9474" width="9.625" style="48" customWidth="1"/>
    <col min="9475" max="9475" width="11" style="48" customWidth="1"/>
    <col min="9476" max="9476" width="12.375" style="48" customWidth="1"/>
    <col min="9477" max="9726" width="6.625" style="48"/>
    <col min="9727" max="9727" width="5.875" style="48" bestFit="1" customWidth="1"/>
    <col min="9728" max="9728" width="68.5" style="48" customWidth="1"/>
    <col min="9729" max="9729" width="7.375" style="48" bestFit="1" customWidth="1"/>
    <col min="9730" max="9730" width="9.625" style="48" customWidth="1"/>
    <col min="9731" max="9731" width="11" style="48" customWidth="1"/>
    <col min="9732" max="9732" width="12.375" style="48" customWidth="1"/>
    <col min="9733" max="9982" width="6.625" style="48"/>
    <col min="9983" max="9983" width="5.875" style="48" bestFit="1" customWidth="1"/>
    <col min="9984" max="9984" width="68.5" style="48" customWidth="1"/>
    <col min="9985" max="9985" width="7.375" style="48" bestFit="1" customWidth="1"/>
    <col min="9986" max="9986" width="9.625" style="48" customWidth="1"/>
    <col min="9987" max="9987" width="11" style="48" customWidth="1"/>
    <col min="9988" max="9988" width="12.375" style="48" customWidth="1"/>
    <col min="9989" max="10238" width="6.625" style="48"/>
    <col min="10239" max="10239" width="5.875" style="48" bestFit="1" customWidth="1"/>
    <col min="10240" max="10240" width="68.5" style="48" customWidth="1"/>
    <col min="10241" max="10241" width="7.375" style="48" bestFit="1" customWidth="1"/>
    <col min="10242" max="10242" width="9.625" style="48" customWidth="1"/>
    <col min="10243" max="10243" width="11" style="48" customWidth="1"/>
    <col min="10244" max="10244" width="12.375" style="48" customWidth="1"/>
    <col min="10245" max="10494" width="6.625" style="48"/>
    <col min="10495" max="10495" width="5.875" style="48" bestFit="1" customWidth="1"/>
    <col min="10496" max="10496" width="68.5" style="48" customWidth="1"/>
    <col min="10497" max="10497" width="7.375" style="48" bestFit="1" customWidth="1"/>
    <col min="10498" max="10498" width="9.625" style="48" customWidth="1"/>
    <col min="10499" max="10499" width="11" style="48" customWidth="1"/>
    <col min="10500" max="10500" width="12.375" style="48" customWidth="1"/>
    <col min="10501" max="10750" width="6.625" style="48"/>
    <col min="10751" max="10751" width="5.875" style="48" bestFit="1" customWidth="1"/>
    <col min="10752" max="10752" width="68.5" style="48" customWidth="1"/>
    <col min="10753" max="10753" width="7.375" style="48" bestFit="1" customWidth="1"/>
    <col min="10754" max="10754" width="9.625" style="48" customWidth="1"/>
    <col min="10755" max="10755" width="11" style="48" customWidth="1"/>
    <col min="10756" max="10756" width="12.375" style="48" customWidth="1"/>
    <col min="10757" max="11006" width="6.625" style="48"/>
    <col min="11007" max="11007" width="5.875" style="48" bestFit="1" customWidth="1"/>
    <col min="11008" max="11008" width="68.5" style="48" customWidth="1"/>
    <col min="11009" max="11009" width="7.375" style="48" bestFit="1" customWidth="1"/>
    <col min="11010" max="11010" width="9.625" style="48" customWidth="1"/>
    <col min="11011" max="11011" width="11" style="48" customWidth="1"/>
    <col min="11012" max="11012" width="12.375" style="48" customWidth="1"/>
    <col min="11013" max="11262" width="6.625" style="48"/>
    <col min="11263" max="11263" width="5.875" style="48" bestFit="1" customWidth="1"/>
    <col min="11264" max="11264" width="68.5" style="48" customWidth="1"/>
    <col min="11265" max="11265" width="7.375" style="48" bestFit="1" customWidth="1"/>
    <col min="11266" max="11266" width="9.625" style="48" customWidth="1"/>
    <col min="11267" max="11267" width="11" style="48" customWidth="1"/>
    <col min="11268" max="11268" width="12.375" style="48" customWidth="1"/>
    <col min="11269" max="11518" width="6.625" style="48"/>
    <col min="11519" max="11519" width="5.875" style="48" bestFit="1" customWidth="1"/>
    <col min="11520" max="11520" width="68.5" style="48" customWidth="1"/>
    <col min="11521" max="11521" width="7.375" style="48" bestFit="1" customWidth="1"/>
    <col min="11522" max="11522" width="9.625" style="48" customWidth="1"/>
    <col min="11523" max="11523" width="11" style="48" customWidth="1"/>
    <col min="11524" max="11524" width="12.375" style="48" customWidth="1"/>
    <col min="11525" max="11774" width="6.625" style="48"/>
    <col min="11775" max="11775" width="5.875" style="48" bestFit="1" customWidth="1"/>
    <col min="11776" max="11776" width="68.5" style="48" customWidth="1"/>
    <col min="11777" max="11777" width="7.375" style="48" bestFit="1" customWidth="1"/>
    <col min="11778" max="11778" width="9.625" style="48" customWidth="1"/>
    <col min="11779" max="11779" width="11" style="48" customWidth="1"/>
    <col min="11780" max="11780" width="12.375" style="48" customWidth="1"/>
    <col min="11781" max="12030" width="6.625" style="48"/>
    <col min="12031" max="12031" width="5.875" style="48" bestFit="1" customWidth="1"/>
    <col min="12032" max="12032" width="68.5" style="48" customWidth="1"/>
    <col min="12033" max="12033" width="7.375" style="48" bestFit="1" customWidth="1"/>
    <col min="12034" max="12034" width="9.625" style="48" customWidth="1"/>
    <col min="12035" max="12035" width="11" style="48" customWidth="1"/>
    <col min="12036" max="12036" width="12.375" style="48" customWidth="1"/>
    <col min="12037" max="12286" width="6.625" style="48"/>
    <col min="12287" max="12287" width="5.875" style="48" bestFit="1" customWidth="1"/>
    <col min="12288" max="12288" width="68.5" style="48" customWidth="1"/>
    <col min="12289" max="12289" width="7.375" style="48" bestFit="1" customWidth="1"/>
    <col min="12290" max="12290" width="9.625" style="48" customWidth="1"/>
    <col min="12291" max="12291" width="11" style="48" customWidth="1"/>
    <col min="12292" max="12292" width="12.375" style="48" customWidth="1"/>
    <col min="12293" max="12542" width="6.625" style="48"/>
    <col min="12543" max="12543" width="5.875" style="48" bestFit="1" customWidth="1"/>
    <col min="12544" max="12544" width="68.5" style="48" customWidth="1"/>
    <col min="12545" max="12545" width="7.375" style="48" bestFit="1" customWidth="1"/>
    <col min="12546" max="12546" width="9.625" style="48" customWidth="1"/>
    <col min="12547" max="12547" width="11" style="48" customWidth="1"/>
    <col min="12548" max="12548" width="12.375" style="48" customWidth="1"/>
    <col min="12549" max="12798" width="6.625" style="48"/>
    <col min="12799" max="12799" width="5.875" style="48" bestFit="1" customWidth="1"/>
    <col min="12800" max="12800" width="68.5" style="48" customWidth="1"/>
    <col min="12801" max="12801" width="7.375" style="48" bestFit="1" customWidth="1"/>
    <col min="12802" max="12802" width="9.625" style="48" customWidth="1"/>
    <col min="12803" max="12803" width="11" style="48" customWidth="1"/>
    <col min="12804" max="12804" width="12.375" style="48" customWidth="1"/>
    <col min="12805" max="13054" width="6.625" style="48"/>
    <col min="13055" max="13055" width="5.875" style="48" bestFit="1" customWidth="1"/>
    <col min="13056" max="13056" width="68.5" style="48" customWidth="1"/>
    <col min="13057" max="13057" width="7.375" style="48" bestFit="1" customWidth="1"/>
    <col min="13058" max="13058" width="9.625" style="48" customWidth="1"/>
    <col min="13059" max="13059" width="11" style="48" customWidth="1"/>
    <col min="13060" max="13060" width="12.375" style="48" customWidth="1"/>
    <col min="13061" max="13310" width="6.625" style="48"/>
    <col min="13311" max="13311" width="5.875" style="48" bestFit="1" customWidth="1"/>
    <col min="13312" max="13312" width="68.5" style="48" customWidth="1"/>
    <col min="13313" max="13313" width="7.375" style="48" bestFit="1" customWidth="1"/>
    <col min="13314" max="13314" width="9.625" style="48" customWidth="1"/>
    <col min="13315" max="13315" width="11" style="48" customWidth="1"/>
    <col min="13316" max="13316" width="12.375" style="48" customWidth="1"/>
    <col min="13317" max="13566" width="6.625" style="48"/>
    <col min="13567" max="13567" width="5.875" style="48" bestFit="1" customWidth="1"/>
    <col min="13568" max="13568" width="68.5" style="48" customWidth="1"/>
    <col min="13569" max="13569" width="7.375" style="48" bestFit="1" customWidth="1"/>
    <col min="13570" max="13570" width="9.625" style="48" customWidth="1"/>
    <col min="13571" max="13571" width="11" style="48" customWidth="1"/>
    <col min="13572" max="13572" width="12.375" style="48" customWidth="1"/>
    <col min="13573" max="13822" width="6.625" style="48"/>
    <col min="13823" max="13823" width="5.875" style="48" bestFit="1" customWidth="1"/>
    <col min="13824" max="13824" width="68.5" style="48" customWidth="1"/>
    <col min="13825" max="13825" width="7.375" style="48" bestFit="1" customWidth="1"/>
    <col min="13826" max="13826" width="9.625" style="48" customWidth="1"/>
    <col min="13827" max="13827" width="11" style="48" customWidth="1"/>
    <col min="13828" max="13828" width="12.375" style="48" customWidth="1"/>
    <col min="13829" max="14078" width="6.625" style="48"/>
    <col min="14079" max="14079" width="5.875" style="48" bestFit="1" customWidth="1"/>
    <col min="14080" max="14080" width="68.5" style="48" customWidth="1"/>
    <col min="14081" max="14081" width="7.375" style="48" bestFit="1" customWidth="1"/>
    <col min="14082" max="14082" width="9.625" style="48" customWidth="1"/>
    <col min="14083" max="14083" width="11" style="48" customWidth="1"/>
    <col min="14084" max="14084" width="12.375" style="48" customWidth="1"/>
    <col min="14085" max="14334" width="6.625" style="48"/>
    <col min="14335" max="14335" width="5.875" style="48" bestFit="1" customWidth="1"/>
    <col min="14336" max="14336" width="68.5" style="48" customWidth="1"/>
    <col min="14337" max="14337" width="7.375" style="48" bestFit="1" customWidth="1"/>
    <col min="14338" max="14338" width="9.625" style="48" customWidth="1"/>
    <col min="14339" max="14339" width="11" style="48" customWidth="1"/>
    <col min="14340" max="14340" width="12.375" style="48" customWidth="1"/>
    <col min="14341" max="14590" width="6.625" style="48"/>
    <col min="14591" max="14591" width="5.875" style="48" bestFit="1" customWidth="1"/>
    <col min="14592" max="14592" width="68.5" style="48" customWidth="1"/>
    <col min="14593" max="14593" width="7.375" style="48" bestFit="1" customWidth="1"/>
    <col min="14594" max="14594" width="9.625" style="48" customWidth="1"/>
    <col min="14595" max="14595" width="11" style="48" customWidth="1"/>
    <col min="14596" max="14596" width="12.375" style="48" customWidth="1"/>
    <col min="14597" max="14846" width="6.625" style="48"/>
    <col min="14847" max="14847" width="5.875" style="48" bestFit="1" customWidth="1"/>
    <col min="14848" max="14848" width="68.5" style="48" customWidth="1"/>
    <col min="14849" max="14849" width="7.375" style="48" bestFit="1" customWidth="1"/>
    <col min="14850" max="14850" width="9.625" style="48" customWidth="1"/>
    <col min="14851" max="14851" width="11" style="48" customWidth="1"/>
    <col min="14852" max="14852" width="12.375" style="48" customWidth="1"/>
    <col min="14853" max="15102" width="6.625" style="48"/>
    <col min="15103" max="15103" width="5.875" style="48" bestFit="1" customWidth="1"/>
    <col min="15104" max="15104" width="68.5" style="48" customWidth="1"/>
    <col min="15105" max="15105" width="7.375" style="48" bestFit="1" customWidth="1"/>
    <col min="15106" max="15106" width="9.625" style="48" customWidth="1"/>
    <col min="15107" max="15107" width="11" style="48" customWidth="1"/>
    <col min="15108" max="15108" width="12.375" style="48" customWidth="1"/>
    <col min="15109" max="15358" width="6.625" style="48"/>
    <col min="15359" max="15359" width="5.875" style="48" bestFit="1" customWidth="1"/>
    <col min="15360" max="15360" width="68.5" style="48" customWidth="1"/>
    <col min="15361" max="15361" width="7.375" style="48" bestFit="1" customWidth="1"/>
    <col min="15362" max="15362" width="9.625" style="48" customWidth="1"/>
    <col min="15363" max="15363" width="11" style="48" customWidth="1"/>
    <col min="15364" max="15364" width="12.375" style="48" customWidth="1"/>
    <col min="15365" max="15614" width="6.625" style="48"/>
    <col min="15615" max="15615" width="5.875" style="48" bestFit="1" customWidth="1"/>
    <col min="15616" max="15616" width="68.5" style="48" customWidth="1"/>
    <col min="15617" max="15617" width="7.375" style="48" bestFit="1" customWidth="1"/>
    <col min="15618" max="15618" width="9.625" style="48" customWidth="1"/>
    <col min="15619" max="15619" width="11" style="48" customWidth="1"/>
    <col min="15620" max="15620" width="12.375" style="48" customWidth="1"/>
    <col min="15621" max="15870" width="6.625" style="48"/>
    <col min="15871" max="15871" width="5.875" style="48" bestFit="1" customWidth="1"/>
    <col min="15872" max="15872" width="68.5" style="48" customWidth="1"/>
    <col min="15873" max="15873" width="7.375" style="48" bestFit="1" customWidth="1"/>
    <col min="15874" max="15874" width="9.625" style="48" customWidth="1"/>
    <col min="15875" max="15875" width="11" style="48" customWidth="1"/>
    <col min="15876" max="15876" width="12.375" style="48" customWidth="1"/>
    <col min="15877" max="16126" width="6.625" style="48"/>
    <col min="16127" max="16127" width="5.875" style="48" bestFit="1" customWidth="1"/>
    <col min="16128" max="16128" width="68.5" style="48" customWidth="1"/>
    <col min="16129" max="16129" width="7.375" style="48" bestFit="1" customWidth="1"/>
    <col min="16130" max="16130" width="9.625" style="48" customWidth="1"/>
    <col min="16131" max="16131" width="11" style="48" customWidth="1"/>
    <col min="16132" max="16132" width="12.375" style="48" customWidth="1"/>
    <col min="16133" max="16384" width="6.625" style="48"/>
  </cols>
  <sheetData>
    <row r="1" spans="1:17" s="46" customFormat="1" ht="15.75">
      <c r="A1" s="1103" t="s">
        <v>557</v>
      </c>
      <c r="B1" s="1103"/>
      <c r="C1" s="1103"/>
      <c r="D1" s="1103"/>
      <c r="E1" s="1103"/>
      <c r="F1" s="1103"/>
      <c r="G1" s="56"/>
      <c r="H1" s="56"/>
      <c r="I1" s="56"/>
    </row>
    <row r="2" spans="1:17" s="46" customFormat="1" ht="15.75">
      <c r="A2" s="1102" t="s">
        <v>558</v>
      </c>
      <c r="B2" s="1102"/>
      <c r="C2" s="1102"/>
      <c r="D2" s="1102"/>
      <c r="E2" s="1102"/>
      <c r="F2" s="1102"/>
      <c r="G2" s="56"/>
      <c r="H2" s="56"/>
      <c r="I2" s="56"/>
    </row>
    <row r="3" spans="1:17" s="46" customFormat="1" ht="15.75">
      <c r="A3" s="1105" t="s">
        <v>559</v>
      </c>
      <c r="B3" s="1105"/>
      <c r="C3" s="1105"/>
      <c r="D3" s="1105"/>
      <c r="E3" s="1105"/>
      <c r="F3" s="1105"/>
      <c r="G3" s="56"/>
      <c r="H3" s="56"/>
      <c r="I3" s="56"/>
    </row>
    <row r="4" spans="1:17" s="53" customFormat="1" ht="388.5" customHeight="1">
      <c r="A4" s="1100" t="s">
        <v>1906</v>
      </c>
      <c r="B4" s="1100"/>
      <c r="C4" s="1100"/>
      <c r="D4" s="1100"/>
      <c r="E4" s="1100"/>
      <c r="F4" s="1100"/>
      <c r="G4" s="580"/>
      <c r="H4" s="580"/>
      <c r="I4" s="56"/>
      <c r="Q4" s="54"/>
    </row>
    <row r="5" spans="1:17" ht="16.5" thickBot="1">
      <c r="A5" s="60"/>
      <c r="B5" s="56"/>
      <c r="C5" s="60"/>
      <c r="D5" s="60"/>
      <c r="E5" s="56"/>
      <c r="F5" s="60"/>
      <c r="G5" s="56"/>
      <c r="H5" s="56"/>
      <c r="I5" s="56"/>
    </row>
    <row r="6" spans="1:17" s="49" customFormat="1" ht="48.75" thickTop="1" thickBot="1">
      <c r="A6" s="61" t="s">
        <v>541</v>
      </c>
      <c r="B6" s="62" t="s">
        <v>542</v>
      </c>
      <c r="C6" s="63" t="s">
        <v>543</v>
      </c>
      <c r="D6" s="63" t="s">
        <v>544</v>
      </c>
      <c r="E6" s="63" t="s">
        <v>545</v>
      </c>
      <c r="F6" s="64" t="s">
        <v>546</v>
      </c>
      <c r="G6" s="102"/>
      <c r="H6" s="102"/>
      <c r="I6" s="102"/>
    </row>
    <row r="7" spans="1:17" ht="16.5" thickTop="1">
      <c r="A7" s="65"/>
      <c r="B7" s="66"/>
      <c r="C7" s="67"/>
      <c r="D7" s="67"/>
      <c r="E7" s="68"/>
      <c r="F7" s="69"/>
      <c r="G7" s="56"/>
      <c r="H7" s="56"/>
      <c r="I7" s="56"/>
    </row>
    <row r="8" spans="1:17" ht="31.5">
      <c r="A8" s="70"/>
      <c r="B8" s="71" t="s">
        <v>547</v>
      </c>
      <c r="C8" s="72"/>
      <c r="D8" s="72"/>
      <c r="E8" s="73"/>
      <c r="F8" s="74"/>
      <c r="G8" s="56"/>
      <c r="H8" s="56"/>
      <c r="I8" s="56"/>
    </row>
    <row r="9" spans="1:17" ht="15.75">
      <c r="A9" s="75"/>
      <c r="B9" s="76"/>
      <c r="C9" s="77"/>
      <c r="D9" s="77"/>
      <c r="E9" s="73"/>
      <c r="F9" s="74"/>
      <c r="G9" s="56"/>
      <c r="H9" s="56"/>
      <c r="I9" s="56"/>
    </row>
    <row r="10" spans="1:17" s="50" customFormat="1" ht="31.5">
      <c r="A10" s="78"/>
      <c r="B10" s="79" t="s">
        <v>1393</v>
      </c>
      <c r="C10" s="80"/>
      <c r="D10" s="80"/>
      <c r="E10" s="81"/>
      <c r="F10" s="82"/>
      <c r="G10" s="57"/>
      <c r="H10" s="57"/>
      <c r="I10" s="57"/>
    </row>
    <row r="11" spans="1:17" ht="15.75">
      <c r="A11" s="75"/>
      <c r="B11" s="83" t="s">
        <v>548</v>
      </c>
      <c r="C11" s="77"/>
      <c r="D11" s="77"/>
      <c r="E11" s="73"/>
      <c r="F11" s="74"/>
      <c r="G11" s="56"/>
      <c r="H11" s="56"/>
      <c r="I11" s="56"/>
    </row>
    <row r="12" spans="1:17" ht="31.5">
      <c r="A12" s="75"/>
      <c r="B12" s="83" t="s">
        <v>549</v>
      </c>
      <c r="C12" s="77" t="s">
        <v>390</v>
      </c>
      <c r="D12" s="77">
        <f>[1]Dokaznica!D12</f>
        <v>1</v>
      </c>
      <c r="E12" s="84"/>
      <c r="F12" s="74"/>
      <c r="G12" s="56"/>
      <c r="H12" s="56"/>
      <c r="I12" s="56"/>
    </row>
    <row r="13" spans="1:17" ht="31.5">
      <c r="A13" s="75"/>
      <c r="B13" s="83" t="s">
        <v>550</v>
      </c>
      <c r="C13" s="77" t="s">
        <v>390</v>
      </c>
      <c r="D13" s="77">
        <f>[1]Dokaznica!D13</f>
        <v>2</v>
      </c>
      <c r="E13" s="84"/>
      <c r="F13" s="74"/>
      <c r="G13" s="56"/>
      <c r="H13" s="56"/>
      <c r="I13" s="56"/>
    </row>
    <row r="14" spans="1:17" ht="15.75">
      <c r="A14" s="75"/>
      <c r="B14" s="83"/>
      <c r="C14" s="77"/>
      <c r="D14" s="77"/>
      <c r="E14" s="84"/>
      <c r="F14" s="74"/>
      <c r="G14" s="56"/>
      <c r="H14" s="56"/>
      <c r="I14" s="56"/>
    </row>
    <row r="15" spans="1:17" ht="15.75">
      <c r="A15" s="75"/>
      <c r="B15" s="83" t="s">
        <v>551</v>
      </c>
      <c r="C15" s="77"/>
      <c r="D15" s="77"/>
      <c r="E15" s="84"/>
      <c r="F15" s="74"/>
      <c r="G15" s="56"/>
      <c r="H15" s="56"/>
      <c r="I15" s="56"/>
    </row>
    <row r="16" spans="1:17" ht="47.25">
      <c r="A16" s="75"/>
      <c r="B16" s="83" t="s">
        <v>552</v>
      </c>
      <c r="C16" s="77" t="s">
        <v>390</v>
      </c>
      <c r="D16" s="77">
        <f>[1]Dokaznica!D16</f>
        <v>3</v>
      </c>
      <c r="E16" s="84"/>
      <c r="F16" s="74"/>
      <c r="G16" s="56"/>
      <c r="H16" s="56"/>
      <c r="I16" s="56"/>
    </row>
    <row r="17" spans="1:9" ht="15.75">
      <c r="A17" s="75"/>
      <c r="B17" s="83"/>
      <c r="C17" s="77"/>
      <c r="D17" s="77"/>
      <c r="E17" s="84"/>
      <c r="F17" s="74"/>
      <c r="G17" s="56"/>
      <c r="H17" s="56"/>
      <c r="I17" s="56"/>
    </row>
    <row r="18" spans="1:9" ht="15.75">
      <c r="A18" s="75"/>
      <c r="B18" s="85" t="s">
        <v>553</v>
      </c>
      <c r="C18" s="77"/>
      <c r="D18" s="77"/>
      <c r="E18" s="84"/>
      <c r="F18" s="74"/>
      <c r="G18" s="56"/>
      <c r="H18" s="56"/>
      <c r="I18" s="56"/>
    </row>
    <row r="19" spans="1:9" ht="31.5">
      <c r="A19" s="75"/>
      <c r="B19" s="85" t="s">
        <v>554</v>
      </c>
      <c r="C19" s="77" t="s">
        <v>390</v>
      </c>
      <c r="D19" s="77">
        <f>[1]Dokaznica!D19</f>
        <v>3</v>
      </c>
      <c r="E19" s="84"/>
      <c r="F19" s="74"/>
      <c r="G19" s="56"/>
      <c r="H19" s="56"/>
      <c r="I19" s="56"/>
    </row>
    <row r="20" spans="1:9" ht="15.75">
      <c r="A20" s="75"/>
      <c r="B20" s="76"/>
      <c r="C20" s="77"/>
      <c r="D20" s="77"/>
      <c r="E20" s="84"/>
      <c r="F20" s="74"/>
      <c r="G20" s="56"/>
      <c r="H20" s="56"/>
      <c r="I20" s="56"/>
    </row>
    <row r="21" spans="1:9" s="50" customFormat="1" ht="47.25">
      <c r="A21" s="78"/>
      <c r="B21" s="86" t="s">
        <v>1382</v>
      </c>
      <c r="C21" s="80"/>
      <c r="D21" s="80"/>
      <c r="E21" s="80"/>
      <c r="F21" s="82"/>
      <c r="G21" s="57"/>
      <c r="H21" s="57"/>
      <c r="I21" s="57"/>
    </row>
    <row r="22" spans="1:9" ht="15.75">
      <c r="A22" s="87"/>
      <c r="B22" s="88" t="s">
        <v>555</v>
      </c>
      <c r="C22" s="77"/>
      <c r="D22" s="89"/>
      <c r="E22" s="84"/>
      <c r="F22" s="74"/>
      <c r="G22" s="56"/>
      <c r="H22" s="56"/>
      <c r="I22" s="56"/>
    </row>
    <row r="23" spans="1:9" ht="15.75">
      <c r="A23" s="87"/>
      <c r="B23" s="88" t="s">
        <v>556</v>
      </c>
      <c r="C23" s="77" t="s">
        <v>399</v>
      </c>
      <c r="D23" s="90">
        <f>[1]Dokaznica!D23</f>
        <v>11</v>
      </c>
      <c r="E23" s="84"/>
      <c r="F23" s="74"/>
      <c r="G23" s="56"/>
      <c r="H23" s="56"/>
      <c r="I23" s="56"/>
    </row>
    <row r="24" spans="1:9" ht="16.5" thickBot="1">
      <c r="A24" s="91"/>
      <c r="B24" s="92"/>
      <c r="C24" s="93"/>
      <c r="D24" s="94"/>
      <c r="E24" s="95"/>
      <c r="F24" s="96"/>
      <c r="G24" s="56"/>
      <c r="H24" s="56"/>
      <c r="I24" s="56"/>
    </row>
    <row r="25" spans="1:9" ht="17.25" thickTop="1" thickBot="1">
      <c r="A25" s="60"/>
      <c r="B25" s="97"/>
      <c r="C25" s="60"/>
      <c r="D25" s="60"/>
      <c r="E25" s="98" t="s">
        <v>540</v>
      </c>
      <c r="F25" s="99"/>
      <c r="G25" s="56"/>
      <c r="H25" s="56"/>
      <c r="I25" s="56"/>
    </row>
    <row r="26" spans="1:9" ht="16.5" thickTop="1">
      <c r="A26" s="60"/>
      <c r="B26" s="97"/>
      <c r="C26" s="60"/>
      <c r="D26" s="60"/>
      <c r="E26" s="100"/>
      <c r="F26" s="101"/>
      <c r="G26" s="56"/>
      <c r="H26" s="56"/>
      <c r="I26" s="56"/>
    </row>
    <row r="27" spans="1:9" ht="15.75">
      <c r="A27" s="60"/>
      <c r="B27" s="56"/>
      <c r="C27" s="60"/>
      <c r="D27" s="60"/>
      <c r="E27" s="103"/>
      <c r="F27" s="103"/>
      <c r="G27" s="56"/>
      <c r="H27" s="56"/>
      <c r="I27" s="56"/>
    </row>
    <row r="28" spans="1:9" ht="15.75">
      <c r="A28" s="60"/>
      <c r="B28" s="56"/>
      <c r="C28" s="60"/>
      <c r="D28" s="60"/>
      <c r="E28" s="56"/>
      <c r="F28" s="60"/>
      <c r="G28" s="56"/>
      <c r="H28" s="56"/>
      <c r="I28" s="56"/>
    </row>
    <row r="29" spans="1:9" ht="15.75">
      <c r="A29" s="60"/>
      <c r="B29" s="56"/>
      <c r="C29" s="60"/>
      <c r="D29" s="60"/>
      <c r="E29" s="56"/>
      <c r="F29" s="60"/>
      <c r="G29" s="56"/>
      <c r="H29" s="56"/>
      <c r="I29" s="56"/>
    </row>
    <row r="30" spans="1:9" ht="15.75">
      <c r="A30" s="60"/>
      <c r="B30" s="56"/>
      <c r="C30" s="60"/>
      <c r="D30" s="60"/>
      <c r="E30" s="56"/>
      <c r="F30" s="60"/>
      <c r="G30" s="56"/>
      <c r="H30" s="56"/>
      <c r="I30" s="56"/>
    </row>
    <row r="31" spans="1:9" ht="15.75">
      <c r="A31" s="60"/>
      <c r="B31" s="56"/>
      <c r="C31" s="60"/>
      <c r="D31" s="60"/>
      <c r="E31" s="1104"/>
      <c r="F31" s="1104"/>
      <c r="G31" s="56"/>
      <c r="H31" s="56"/>
      <c r="I31" s="56"/>
    </row>
    <row r="32" spans="1:9" ht="15.75">
      <c r="A32" s="60"/>
      <c r="B32" s="56"/>
      <c r="C32" s="60"/>
      <c r="D32" s="60"/>
      <c r="E32" s="56"/>
      <c r="F32" s="60"/>
      <c r="G32" s="56"/>
      <c r="H32" s="56"/>
      <c r="I32" s="56"/>
    </row>
    <row r="33" spans="1:9" ht="15.75">
      <c r="A33" s="60"/>
      <c r="B33" s="56"/>
      <c r="C33" s="60"/>
      <c r="D33" s="60"/>
      <c r="E33" s="56"/>
      <c r="F33" s="60"/>
      <c r="G33" s="56"/>
      <c r="H33" s="56"/>
      <c r="I33" s="56"/>
    </row>
    <row r="34" spans="1:9" ht="15.75">
      <c r="A34" s="60"/>
      <c r="B34" s="56"/>
      <c r="C34" s="60"/>
      <c r="D34" s="60"/>
      <c r="E34" s="56"/>
      <c r="F34" s="60"/>
      <c r="G34" s="56"/>
      <c r="H34" s="56"/>
      <c r="I34" s="56"/>
    </row>
    <row r="35" spans="1:9" ht="15.75">
      <c r="A35" s="60"/>
      <c r="B35" s="56"/>
      <c r="C35" s="60"/>
      <c r="D35" s="60"/>
      <c r="E35" s="56"/>
      <c r="F35" s="60"/>
      <c r="G35" s="56"/>
      <c r="H35" s="56"/>
      <c r="I35" s="56"/>
    </row>
    <row r="36" spans="1:9" ht="15.75">
      <c r="A36" s="60"/>
      <c r="B36" s="56"/>
      <c r="C36" s="60"/>
      <c r="D36" s="60"/>
      <c r="E36" s="56"/>
      <c r="F36" s="60"/>
      <c r="G36" s="56"/>
      <c r="H36" s="56"/>
      <c r="I36" s="56"/>
    </row>
    <row r="37" spans="1:9" ht="15.75">
      <c r="A37" s="60"/>
      <c r="B37" s="56"/>
      <c r="C37" s="60"/>
      <c r="D37" s="60"/>
      <c r="E37" s="56"/>
      <c r="F37" s="60"/>
      <c r="G37" s="56"/>
      <c r="H37" s="56"/>
      <c r="I37" s="56"/>
    </row>
    <row r="38" spans="1:9" ht="15.75">
      <c r="A38" s="60"/>
      <c r="B38" s="56"/>
      <c r="C38" s="60"/>
      <c r="D38" s="60"/>
      <c r="E38" s="56"/>
      <c r="F38" s="60"/>
      <c r="G38" s="56"/>
      <c r="H38" s="56"/>
      <c r="I38" s="56"/>
    </row>
    <row r="39" spans="1:9" ht="15.75">
      <c r="A39" s="60"/>
      <c r="B39" s="56"/>
      <c r="C39" s="60"/>
      <c r="D39" s="60"/>
      <c r="E39" s="56"/>
      <c r="F39" s="60"/>
      <c r="G39" s="56"/>
      <c r="H39" s="56"/>
      <c r="I39" s="56"/>
    </row>
    <row r="40" spans="1:9" ht="15.75">
      <c r="A40" s="60"/>
      <c r="B40" s="56"/>
      <c r="C40" s="60"/>
      <c r="D40" s="60"/>
      <c r="E40" s="56"/>
      <c r="F40" s="60"/>
      <c r="G40" s="56"/>
      <c r="H40" s="56"/>
      <c r="I40" s="56"/>
    </row>
    <row r="41" spans="1:9" ht="15.75">
      <c r="A41" s="60"/>
      <c r="B41" s="56"/>
      <c r="C41" s="60"/>
      <c r="D41" s="60"/>
      <c r="E41" s="56"/>
      <c r="F41" s="60"/>
      <c r="G41" s="56"/>
      <c r="H41" s="56"/>
      <c r="I41" s="56"/>
    </row>
    <row r="42" spans="1:9" ht="15.75">
      <c r="A42" s="60"/>
      <c r="B42" s="56"/>
      <c r="C42" s="60"/>
      <c r="D42" s="60"/>
      <c r="E42" s="56"/>
      <c r="F42" s="60"/>
      <c r="G42" s="56"/>
      <c r="H42" s="56"/>
      <c r="I42" s="56"/>
    </row>
    <row r="43" spans="1:9" ht="15.75">
      <c r="A43" s="60"/>
      <c r="B43" s="56"/>
      <c r="C43" s="60"/>
      <c r="D43" s="60"/>
      <c r="E43" s="56"/>
      <c r="F43" s="60"/>
      <c r="G43" s="56"/>
      <c r="H43" s="56"/>
      <c r="I43" s="56"/>
    </row>
    <row r="44" spans="1:9" ht="15.75">
      <c r="A44" s="60"/>
      <c r="B44" s="56"/>
      <c r="C44" s="60"/>
      <c r="D44" s="60"/>
      <c r="E44" s="56"/>
      <c r="F44" s="60"/>
      <c r="G44" s="56"/>
      <c r="H44" s="56"/>
      <c r="I44" s="56"/>
    </row>
    <row r="45" spans="1:9" ht="15.75">
      <c r="A45" s="60"/>
      <c r="B45" s="56"/>
      <c r="C45" s="60"/>
      <c r="D45" s="60"/>
      <c r="E45" s="56"/>
      <c r="F45" s="60"/>
      <c r="G45" s="56"/>
      <c r="H45" s="56"/>
      <c r="I45" s="56"/>
    </row>
    <row r="46" spans="1:9" ht="15.75">
      <c r="A46" s="60"/>
      <c r="B46" s="56"/>
      <c r="C46" s="60"/>
      <c r="D46" s="60"/>
      <c r="E46" s="56"/>
      <c r="F46" s="60"/>
      <c r="G46" s="56"/>
      <c r="H46" s="56"/>
      <c r="I46" s="56"/>
    </row>
    <row r="47" spans="1:9" ht="15.75">
      <c r="A47" s="60"/>
      <c r="B47" s="56"/>
      <c r="C47" s="60"/>
      <c r="D47" s="60"/>
      <c r="E47" s="56"/>
      <c r="F47" s="60"/>
      <c r="G47" s="56"/>
      <c r="H47" s="56"/>
      <c r="I47" s="56"/>
    </row>
    <row r="48" spans="1:9" ht="15.75">
      <c r="A48" s="60"/>
      <c r="B48" s="56"/>
      <c r="C48" s="60"/>
      <c r="D48" s="60"/>
      <c r="E48" s="56"/>
      <c r="F48" s="60"/>
      <c r="G48" s="56"/>
      <c r="H48" s="56"/>
      <c r="I48" s="56"/>
    </row>
    <row r="49" spans="1:9" ht="15.75">
      <c r="A49" s="60"/>
      <c r="B49" s="56"/>
      <c r="C49" s="60"/>
      <c r="D49" s="60"/>
      <c r="E49" s="56"/>
      <c r="F49" s="60"/>
      <c r="G49" s="56"/>
      <c r="H49" s="56"/>
      <c r="I49" s="56"/>
    </row>
    <row r="50" spans="1:9" ht="15.75">
      <c r="A50" s="60"/>
      <c r="B50" s="56"/>
      <c r="C50" s="60"/>
      <c r="D50" s="60"/>
      <c r="E50" s="56"/>
      <c r="F50" s="60"/>
      <c r="G50" s="56"/>
      <c r="H50" s="56"/>
      <c r="I50" s="56"/>
    </row>
    <row r="51" spans="1:9" ht="15.75">
      <c r="A51" s="60"/>
      <c r="B51" s="56"/>
      <c r="C51" s="60"/>
      <c r="D51" s="60"/>
      <c r="E51" s="56"/>
      <c r="F51" s="60"/>
      <c r="G51" s="56"/>
      <c r="H51" s="56"/>
      <c r="I51" s="56"/>
    </row>
    <row r="52" spans="1:9" ht="15.75">
      <c r="A52" s="60"/>
      <c r="B52" s="56"/>
      <c r="C52" s="60"/>
      <c r="D52" s="60"/>
      <c r="E52" s="56"/>
      <c r="F52" s="60"/>
      <c r="G52" s="56"/>
      <c r="H52" s="56"/>
      <c r="I52" s="56"/>
    </row>
    <row r="53" spans="1:9" ht="15.75">
      <c r="A53" s="60"/>
      <c r="B53" s="56"/>
      <c r="C53" s="60"/>
      <c r="D53" s="60"/>
      <c r="E53" s="56"/>
      <c r="F53" s="60"/>
      <c r="G53" s="56"/>
      <c r="H53" s="56"/>
      <c r="I53" s="56"/>
    </row>
    <row r="54" spans="1:9" ht="15.75">
      <c r="A54" s="60"/>
      <c r="B54" s="56"/>
      <c r="C54" s="60"/>
      <c r="D54" s="60"/>
      <c r="E54" s="56"/>
      <c r="F54" s="60"/>
      <c r="G54" s="56"/>
      <c r="H54" s="56"/>
      <c r="I54" s="56"/>
    </row>
    <row r="55" spans="1:9" ht="15.75">
      <c r="A55" s="60"/>
      <c r="B55" s="56"/>
      <c r="C55" s="60"/>
      <c r="D55" s="60"/>
      <c r="E55" s="56"/>
      <c r="F55" s="60"/>
      <c r="G55" s="56"/>
      <c r="H55" s="56"/>
      <c r="I55" s="56"/>
    </row>
    <row r="56" spans="1:9" ht="15.75">
      <c r="A56" s="60"/>
      <c r="B56" s="56"/>
      <c r="C56" s="60"/>
      <c r="D56" s="60"/>
      <c r="E56" s="56"/>
      <c r="F56" s="60"/>
      <c r="G56" s="56"/>
      <c r="H56" s="56"/>
      <c r="I56" s="56"/>
    </row>
    <row r="57" spans="1:9" ht="15.75">
      <c r="A57" s="60"/>
      <c r="B57" s="56"/>
      <c r="C57" s="60"/>
      <c r="D57" s="60"/>
      <c r="E57" s="56"/>
      <c r="F57" s="60"/>
      <c r="G57" s="56"/>
      <c r="H57" s="56"/>
      <c r="I57" s="56"/>
    </row>
  </sheetData>
  <mergeCells count="5">
    <mergeCell ref="A1:F1"/>
    <mergeCell ref="A2:F2"/>
    <mergeCell ref="E31:F31"/>
    <mergeCell ref="A3:F3"/>
    <mergeCell ref="A4:F4"/>
  </mergeCells>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3"/>
  <sheetViews>
    <sheetView view="pageBreakPreview" topLeftCell="A220" zoomScaleNormal="80" zoomScaleSheetLayoutView="100" workbookViewId="0">
      <selection activeCell="I236" sqref="I236"/>
    </sheetView>
  </sheetViews>
  <sheetFormatPr defaultColWidth="8.75" defaultRowHeight="15.75"/>
  <cols>
    <col min="1" max="1" width="4.875" style="746" customWidth="1"/>
    <col min="2" max="2" width="7.75" style="746" hidden="1" customWidth="1"/>
    <col min="3" max="3" width="36.125" style="695" customWidth="1"/>
    <col min="4" max="4" width="5.625" style="747" bestFit="1" customWidth="1"/>
    <col min="5" max="5" width="8.5" style="748" customWidth="1"/>
    <col min="6" max="6" width="5.75" style="972" hidden="1" customWidth="1"/>
    <col min="7" max="7" width="11.125" style="750" customWidth="1"/>
    <col min="8" max="8" width="13.375" style="750" customWidth="1"/>
    <col min="9" max="16384" width="8.75" style="644"/>
  </cols>
  <sheetData>
    <row r="1" spans="1:12" ht="47.25">
      <c r="A1" s="973" t="s">
        <v>380</v>
      </c>
      <c r="B1" s="973" t="s">
        <v>381</v>
      </c>
      <c r="C1" s="974" t="s">
        <v>382</v>
      </c>
      <c r="D1" s="973" t="s">
        <v>383</v>
      </c>
      <c r="E1" s="975" t="s">
        <v>384</v>
      </c>
      <c r="F1" s="976">
        <v>121</v>
      </c>
      <c r="G1" s="975" t="s">
        <v>385</v>
      </c>
      <c r="H1" s="977" t="s">
        <v>386</v>
      </c>
    </row>
    <row r="2" spans="1:12" s="53" customFormat="1" ht="409.5" customHeight="1">
      <c r="A2" s="1106" t="s">
        <v>1906</v>
      </c>
      <c r="B2" s="1106"/>
      <c r="C2" s="1106"/>
      <c r="D2" s="1106"/>
      <c r="E2" s="1106"/>
      <c r="F2" s="1106"/>
      <c r="G2" s="1106"/>
      <c r="H2" s="1106"/>
      <c r="L2" s="978"/>
    </row>
    <row r="3" spans="1:12" ht="39.75" customHeight="1">
      <c r="A3" s="937" t="s">
        <v>0</v>
      </c>
      <c r="B3" s="938"/>
      <c r="C3" s="939" t="s">
        <v>387</v>
      </c>
      <c r="D3" s="940"/>
      <c r="E3" s="941"/>
      <c r="F3" s="942"/>
      <c r="G3" s="943"/>
      <c r="H3" s="943"/>
    </row>
    <row r="4" spans="1:12" ht="31.5">
      <c r="A4" s="659" t="s">
        <v>25</v>
      </c>
      <c r="B4" s="660"/>
      <c r="C4" s="667" t="s">
        <v>388</v>
      </c>
      <c r="D4" s="660"/>
      <c r="E4" s="662"/>
      <c r="F4" s="663"/>
      <c r="G4" s="664"/>
      <c r="H4" s="664"/>
    </row>
    <row r="5" spans="1:12" ht="94.5">
      <c r="A5" s="659"/>
      <c r="B5" s="660"/>
      <c r="C5" s="666" t="s">
        <v>1955</v>
      </c>
      <c r="D5" s="660"/>
      <c r="E5" s="662"/>
      <c r="F5" s="663"/>
      <c r="G5" s="664"/>
      <c r="H5" s="664"/>
    </row>
    <row r="6" spans="1:12">
      <c r="A6" s="659"/>
      <c r="B6" s="660"/>
      <c r="C6" s="944" t="s">
        <v>389</v>
      </c>
      <c r="D6" s="945" t="s">
        <v>390</v>
      </c>
      <c r="E6" s="946">
        <v>3</v>
      </c>
      <c r="F6" s="947">
        <v>50</v>
      </c>
      <c r="G6" s="948"/>
      <c r="H6" s="948"/>
    </row>
    <row r="7" spans="1:12" ht="31.5">
      <c r="A7" s="659" t="s">
        <v>26</v>
      </c>
      <c r="B7" s="660"/>
      <c r="C7" s="661" t="s">
        <v>391</v>
      </c>
      <c r="D7" s="660"/>
      <c r="E7" s="662"/>
      <c r="F7" s="663"/>
      <c r="G7" s="656"/>
      <c r="H7" s="656"/>
    </row>
    <row r="8" spans="1:12" ht="63">
      <c r="A8" s="659"/>
      <c r="B8" s="660"/>
      <c r="C8" s="666" t="s">
        <v>1956</v>
      </c>
      <c r="D8" s="660"/>
      <c r="E8" s="662"/>
      <c r="F8" s="663"/>
      <c r="G8" s="656"/>
      <c r="H8" s="656"/>
    </row>
    <row r="9" spans="1:12">
      <c r="A9" s="659"/>
      <c r="B9" s="660"/>
      <c r="C9" s="944" t="s">
        <v>392</v>
      </c>
      <c r="D9" s="945" t="s">
        <v>393</v>
      </c>
      <c r="E9" s="946">
        <f>[2]Računaljka!I3</f>
        <v>52.800000000000004</v>
      </c>
      <c r="F9" s="947">
        <v>11.5</v>
      </c>
      <c r="G9" s="948"/>
      <c r="H9" s="948"/>
    </row>
    <row r="10" spans="1:12">
      <c r="A10" s="659"/>
      <c r="B10" s="660"/>
      <c r="C10" s="666" t="s">
        <v>285</v>
      </c>
      <c r="D10" s="678"/>
      <c r="E10" s="656"/>
      <c r="F10" s="657"/>
      <c r="G10" s="658"/>
      <c r="H10" s="658"/>
    </row>
    <row r="11" spans="1:12" ht="47.25">
      <c r="A11" s="659" t="s">
        <v>27</v>
      </c>
      <c r="B11" s="660"/>
      <c r="C11" s="667" t="s">
        <v>394</v>
      </c>
      <c r="D11" s="660"/>
      <c r="E11" s="662"/>
      <c r="F11" s="663"/>
      <c r="G11" s="656"/>
      <c r="H11" s="656"/>
    </row>
    <row r="12" spans="1:12" ht="31.5">
      <c r="A12" s="659"/>
      <c r="B12" s="660"/>
      <c r="C12" s="666" t="s">
        <v>395</v>
      </c>
      <c r="D12" s="660"/>
      <c r="E12" s="662"/>
      <c r="F12" s="663"/>
      <c r="G12" s="656"/>
      <c r="H12" s="656"/>
    </row>
    <row r="13" spans="1:12" ht="78.75">
      <c r="A13" s="659"/>
      <c r="B13" s="660"/>
      <c r="C13" s="666" t="s">
        <v>1957</v>
      </c>
      <c r="D13" s="660"/>
      <c r="E13" s="662"/>
      <c r="F13" s="663"/>
      <c r="G13" s="656"/>
      <c r="H13" s="656"/>
    </row>
    <row r="14" spans="1:12" ht="63">
      <c r="A14" s="659"/>
      <c r="B14" s="660"/>
      <c r="C14" s="666" t="s">
        <v>396</v>
      </c>
      <c r="D14" s="660"/>
      <c r="E14" s="662"/>
      <c r="F14" s="663"/>
      <c r="G14" s="656"/>
      <c r="H14" s="656"/>
    </row>
    <row r="15" spans="1:12" ht="47.25">
      <c r="A15" s="659"/>
      <c r="B15" s="660"/>
      <c r="C15" s="666" t="s">
        <v>397</v>
      </c>
      <c r="D15" s="660"/>
      <c r="E15" s="662"/>
      <c r="F15" s="663"/>
      <c r="G15" s="656"/>
      <c r="H15" s="656"/>
    </row>
    <row r="16" spans="1:12">
      <c r="A16" s="659"/>
      <c r="B16" s="660"/>
      <c r="C16" s="944" t="s">
        <v>398</v>
      </c>
      <c r="D16" s="945" t="s">
        <v>399</v>
      </c>
      <c r="E16" s="946">
        <f>[2]Računaljka!I5</f>
        <v>11.71875</v>
      </c>
      <c r="F16" s="947">
        <v>45</v>
      </c>
      <c r="G16" s="948"/>
      <c r="H16" s="948"/>
    </row>
    <row r="17" spans="1:8">
      <c r="A17" s="659"/>
      <c r="B17" s="660"/>
      <c r="C17" s="666" t="s">
        <v>286</v>
      </c>
      <c r="D17" s="660"/>
      <c r="E17" s="662"/>
      <c r="F17" s="663"/>
      <c r="G17" s="656"/>
      <c r="H17" s="656"/>
    </row>
    <row r="18" spans="1:8" ht="31.5">
      <c r="A18" s="659" t="s">
        <v>28</v>
      </c>
      <c r="B18" s="660"/>
      <c r="C18" s="667" t="s">
        <v>400</v>
      </c>
      <c r="D18" s="660"/>
      <c r="E18" s="662"/>
      <c r="F18" s="663"/>
      <c r="G18" s="656"/>
      <c r="H18" s="656"/>
    </row>
    <row r="19" spans="1:8" ht="110.25">
      <c r="A19" s="659"/>
      <c r="B19" s="660"/>
      <c r="C19" s="666" t="s">
        <v>1718</v>
      </c>
      <c r="D19" s="660"/>
      <c r="E19" s="662"/>
      <c r="F19" s="663"/>
      <c r="G19" s="656"/>
      <c r="H19" s="656"/>
    </row>
    <row r="20" spans="1:8" ht="47.25">
      <c r="A20" s="659"/>
      <c r="B20" s="660"/>
      <c r="C20" s="666" t="s">
        <v>401</v>
      </c>
      <c r="D20" s="660"/>
      <c r="E20" s="662"/>
      <c r="F20" s="663"/>
      <c r="G20" s="656"/>
      <c r="H20" s="656"/>
    </row>
    <row r="21" spans="1:8" ht="31.5">
      <c r="A21" s="659"/>
      <c r="B21" s="660"/>
      <c r="C21" s="666" t="s">
        <v>402</v>
      </c>
      <c r="D21" s="660"/>
      <c r="E21" s="662"/>
      <c r="F21" s="663"/>
      <c r="G21" s="656"/>
      <c r="H21" s="656"/>
    </row>
    <row r="22" spans="1:8">
      <c r="A22" s="659"/>
      <c r="B22" s="660"/>
      <c r="C22" s="944" t="s">
        <v>398</v>
      </c>
      <c r="D22" s="945" t="s">
        <v>399</v>
      </c>
      <c r="E22" s="946">
        <f>[2]Računaljka!I7</f>
        <v>42.24</v>
      </c>
      <c r="F22" s="947">
        <v>25</v>
      </c>
      <c r="G22" s="948"/>
      <c r="H22" s="948"/>
    </row>
    <row r="23" spans="1:8">
      <c r="A23" s="659"/>
      <c r="B23" s="660"/>
      <c r="C23" s="666" t="s">
        <v>287</v>
      </c>
      <c r="D23" s="660"/>
      <c r="E23" s="662"/>
      <c r="F23" s="663"/>
      <c r="G23" s="656"/>
      <c r="H23" s="656"/>
    </row>
    <row r="24" spans="1:8" ht="63">
      <c r="A24" s="659" t="s">
        <v>29</v>
      </c>
      <c r="B24" s="660"/>
      <c r="C24" s="667" t="s">
        <v>403</v>
      </c>
      <c r="D24" s="660"/>
      <c r="E24" s="662"/>
      <c r="F24" s="663"/>
      <c r="G24" s="656"/>
      <c r="H24" s="656"/>
    </row>
    <row r="25" spans="1:8" ht="126">
      <c r="A25" s="659"/>
      <c r="B25" s="660"/>
      <c r="C25" s="666" t="s">
        <v>1719</v>
      </c>
      <c r="D25" s="660"/>
      <c r="E25" s="662"/>
      <c r="F25" s="663"/>
      <c r="G25" s="656"/>
      <c r="H25" s="656"/>
    </row>
    <row r="26" spans="1:8" ht="31.5">
      <c r="A26" s="659"/>
      <c r="B26" s="660"/>
      <c r="C26" s="666" t="s">
        <v>404</v>
      </c>
      <c r="D26" s="660"/>
      <c r="E26" s="662"/>
      <c r="F26" s="663"/>
      <c r="G26" s="656"/>
      <c r="H26" s="656"/>
    </row>
    <row r="27" spans="1:8">
      <c r="A27" s="659"/>
      <c r="B27" s="660"/>
      <c r="C27" s="944" t="s">
        <v>398</v>
      </c>
      <c r="D27" s="945" t="s">
        <v>399</v>
      </c>
      <c r="E27" s="946">
        <f>[2]Računaljka!I9</f>
        <v>16.004999999999999</v>
      </c>
      <c r="F27" s="947">
        <v>30</v>
      </c>
      <c r="G27" s="948"/>
      <c r="H27" s="948"/>
    </row>
    <row r="28" spans="1:8">
      <c r="A28" s="659"/>
      <c r="B28" s="660"/>
      <c r="C28" s="666" t="s">
        <v>288</v>
      </c>
      <c r="D28" s="660"/>
      <c r="E28" s="662"/>
      <c r="F28" s="663"/>
      <c r="G28" s="656"/>
      <c r="H28" s="656"/>
    </row>
    <row r="29" spans="1:8" ht="31.5">
      <c r="A29" s="659" t="s">
        <v>289</v>
      </c>
      <c r="B29" s="660"/>
      <c r="C29" s="661" t="s">
        <v>405</v>
      </c>
      <c r="D29" s="660"/>
      <c r="E29" s="662"/>
      <c r="F29" s="663"/>
      <c r="G29" s="656"/>
      <c r="H29" s="656"/>
    </row>
    <row r="30" spans="1:8" ht="31.5">
      <c r="A30" s="659"/>
      <c r="B30" s="660"/>
      <c r="C30" s="242" t="s">
        <v>406</v>
      </c>
      <c r="D30" s="660"/>
      <c r="E30" s="662"/>
      <c r="F30" s="663"/>
      <c r="G30" s="656"/>
      <c r="H30" s="656"/>
    </row>
    <row r="31" spans="1:8" ht="63">
      <c r="A31" s="659"/>
      <c r="B31" s="660"/>
      <c r="C31" s="242" t="s">
        <v>407</v>
      </c>
      <c r="D31" s="660"/>
      <c r="E31" s="662"/>
      <c r="F31" s="663"/>
      <c r="G31" s="656"/>
      <c r="H31" s="656"/>
    </row>
    <row r="32" spans="1:8" ht="31.5">
      <c r="A32" s="659"/>
      <c r="B32" s="660"/>
      <c r="C32" s="242" t="s">
        <v>408</v>
      </c>
      <c r="D32" s="678"/>
      <c r="E32" s="656"/>
      <c r="F32" s="657"/>
      <c r="G32" s="658"/>
      <c r="H32" s="658"/>
    </row>
    <row r="33" spans="1:8" ht="63">
      <c r="A33" s="659"/>
      <c r="B33" s="660"/>
      <c r="C33" s="242" t="s">
        <v>1958</v>
      </c>
      <c r="D33" s="660"/>
      <c r="E33" s="662"/>
      <c r="F33" s="663"/>
      <c r="G33" s="656"/>
      <c r="H33" s="656"/>
    </row>
    <row r="34" spans="1:8" ht="47.25">
      <c r="A34" s="659"/>
      <c r="B34" s="660"/>
      <c r="C34" s="242" t="s">
        <v>409</v>
      </c>
      <c r="D34" s="660"/>
      <c r="E34" s="662"/>
      <c r="F34" s="663"/>
      <c r="G34" s="656"/>
      <c r="H34" s="656"/>
    </row>
    <row r="35" spans="1:8">
      <c r="A35" s="660"/>
      <c r="B35" s="660"/>
      <c r="C35" s="949" t="s">
        <v>410</v>
      </c>
      <c r="D35" s="945" t="s">
        <v>399</v>
      </c>
      <c r="E35" s="946">
        <f>[2]Računaljka!I11</f>
        <v>727.8</v>
      </c>
      <c r="F35" s="947">
        <v>9</v>
      </c>
      <c r="G35" s="948"/>
      <c r="H35" s="948"/>
    </row>
    <row r="36" spans="1:8">
      <c r="A36" s="660"/>
      <c r="B36" s="660"/>
      <c r="C36" s="666" t="s">
        <v>290</v>
      </c>
      <c r="D36" s="660"/>
      <c r="E36" s="662"/>
      <c r="F36" s="663"/>
      <c r="G36" s="656"/>
      <c r="H36" s="656"/>
    </row>
    <row r="37" spans="1:8" ht="63">
      <c r="A37" s="659" t="s">
        <v>291</v>
      </c>
      <c r="B37" s="660"/>
      <c r="C37" s="661" t="s">
        <v>1723</v>
      </c>
      <c r="D37" s="660"/>
      <c r="E37" s="662"/>
      <c r="F37" s="663"/>
      <c r="G37" s="656"/>
      <c r="H37" s="656"/>
    </row>
    <row r="38" spans="1:8" ht="63">
      <c r="A38" s="660"/>
      <c r="B38" s="660"/>
      <c r="C38" s="242" t="s">
        <v>411</v>
      </c>
      <c r="D38" s="242"/>
      <c r="E38" s="662"/>
      <c r="F38" s="663"/>
      <c r="G38" s="656"/>
      <c r="H38" s="656"/>
    </row>
    <row r="39" spans="1:8" ht="63">
      <c r="A39" s="660"/>
      <c r="B39" s="660"/>
      <c r="C39" s="242" t="s">
        <v>1959</v>
      </c>
      <c r="D39" s="660"/>
      <c r="E39" s="662"/>
      <c r="F39" s="663"/>
      <c r="G39" s="656"/>
      <c r="H39" s="656"/>
    </row>
    <row r="40" spans="1:8">
      <c r="A40" s="660"/>
      <c r="B40" s="660"/>
      <c r="C40" s="949" t="s">
        <v>392</v>
      </c>
      <c r="D40" s="945" t="s">
        <v>393</v>
      </c>
      <c r="E40" s="946">
        <f>[2]Računaljka!I13</f>
        <v>18.240749999999998</v>
      </c>
      <c r="F40" s="947">
        <v>52.3</v>
      </c>
      <c r="G40" s="948"/>
      <c r="H40" s="948"/>
    </row>
    <row r="41" spans="1:8">
      <c r="A41" s="660"/>
      <c r="B41" s="660"/>
      <c r="C41" s="242" t="s">
        <v>292</v>
      </c>
      <c r="D41" s="660"/>
      <c r="E41" s="662"/>
      <c r="F41" s="663"/>
      <c r="G41" s="656"/>
      <c r="H41" s="656"/>
    </row>
    <row r="42" spans="1:8" ht="63">
      <c r="A42" s="659" t="s">
        <v>293</v>
      </c>
      <c r="B42" s="660"/>
      <c r="C42" s="661" t="s">
        <v>412</v>
      </c>
      <c r="D42" s="660"/>
      <c r="E42" s="662"/>
      <c r="F42" s="663"/>
      <c r="G42" s="656"/>
      <c r="H42" s="656"/>
    </row>
    <row r="43" spans="1:8" ht="78.75">
      <c r="A43" s="660"/>
      <c r="B43" s="660"/>
      <c r="C43" s="242" t="s">
        <v>1960</v>
      </c>
      <c r="D43" s="660"/>
      <c r="E43" s="662"/>
      <c r="F43" s="663"/>
      <c r="G43" s="656"/>
      <c r="H43" s="656"/>
    </row>
    <row r="44" spans="1:8">
      <c r="A44" s="660"/>
      <c r="B44" s="660"/>
      <c r="C44" s="949" t="s">
        <v>410</v>
      </c>
      <c r="D44" s="945" t="s">
        <v>399</v>
      </c>
      <c r="E44" s="950">
        <v>51</v>
      </c>
      <c r="F44" s="947">
        <v>12</v>
      </c>
      <c r="G44" s="948"/>
      <c r="H44" s="948"/>
    </row>
    <row r="45" spans="1:8" ht="63">
      <c r="A45" s="659" t="s">
        <v>294</v>
      </c>
      <c r="B45" s="660"/>
      <c r="C45" s="661" t="s">
        <v>413</v>
      </c>
      <c r="D45" s="660"/>
      <c r="E45" s="662"/>
      <c r="F45" s="663"/>
      <c r="G45" s="656"/>
      <c r="H45" s="656"/>
    </row>
    <row r="46" spans="1:8" ht="78.75">
      <c r="A46" s="660"/>
      <c r="B46" s="660"/>
      <c r="C46" s="242" t="s">
        <v>1961</v>
      </c>
      <c r="D46" s="660"/>
      <c r="E46" s="662"/>
      <c r="F46" s="663"/>
      <c r="G46" s="656"/>
      <c r="H46" s="656"/>
    </row>
    <row r="47" spans="1:8">
      <c r="A47" s="660"/>
      <c r="B47" s="660"/>
      <c r="C47" s="242" t="s">
        <v>410</v>
      </c>
      <c r="D47" s="660" t="s">
        <v>399</v>
      </c>
      <c r="E47" s="662">
        <v>120</v>
      </c>
      <c r="F47" s="663">
        <v>5.45</v>
      </c>
      <c r="G47" s="656"/>
      <c r="H47" s="656"/>
    </row>
    <row r="48" spans="1:8">
      <c r="A48" s="1108" t="s">
        <v>414</v>
      </c>
      <c r="B48" s="1108"/>
      <c r="C48" s="1108"/>
      <c r="D48" s="1108"/>
      <c r="E48" s="1108"/>
      <c r="F48" s="1108"/>
      <c r="G48" s="1108"/>
      <c r="H48" s="979"/>
    </row>
    <row r="49" spans="1:8">
      <c r="A49" s="660"/>
      <c r="B49" s="660"/>
      <c r="C49" s="675"/>
      <c r="D49" s="675"/>
      <c r="E49" s="675"/>
      <c r="F49" s="675"/>
      <c r="G49" s="675"/>
      <c r="H49" s="676"/>
    </row>
    <row r="50" spans="1:8">
      <c r="A50" s="677" t="s">
        <v>1</v>
      </c>
      <c r="B50" s="653"/>
      <c r="C50" s="654" t="s">
        <v>1386</v>
      </c>
      <c r="D50" s="678"/>
      <c r="E50" s="656"/>
      <c r="F50" s="657"/>
      <c r="G50" s="658"/>
      <c r="H50" s="658"/>
    </row>
    <row r="51" spans="1:8" ht="63">
      <c r="A51" s="653" t="s">
        <v>30</v>
      </c>
      <c r="B51" s="653"/>
      <c r="C51" s="661" t="s">
        <v>1724</v>
      </c>
      <c r="D51" s="242"/>
      <c r="E51" s="679"/>
      <c r="F51" s="657"/>
      <c r="G51" s="658"/>
      <c r="H51" s="658"/>
    </row>
    <row r="52" spans="1:8" ht="63">
      <c r="A52" s="653"/>
      <c r="B52" s="653"/>
      <c r="C52" s="242" t="s">
        <v>1720</v>
      </c>
      <c r="D52" s="242"/>
      <c r="E52" s="679"/>
      <c r="F52" s="657"/>
      <c r="G52" s="658"/>
      <c r="H52" s="658"/>
    </row>
    <row r="53" spans="1:8" ht="47.25">
      <c r="A53" s="653"/>
      <c r="B53" s="653"/>
      <c r="C53" s="242" t="s">
        <v>415</v>
      </c>
      <c r="D53" s="242"/>
      <c r="E53" s="679"/>
      <c r="F53" s="657"/>
      <c r="G53" s="658"/>
      <c r="H53" s="658"/>
    </row>
    <row r="54" spans="1:8">
      <c r="A54" s="653"/>
      <c r="B54" s="653"/>
      <c r="C54" s="949" t="s">
        <v>392</v>
      </c>
      <c r="D54" s="951" t="s">
        <v>393</v>
      </c>
      <c r="E54" s="952">
        <f>[2]Računaljka!I20</f>
        <v>58.356000000000002</v>
      </c>
      <c r="F54" s="953">
        <v>5.0999999999999996</v>
      </c>
      <c r="G54" s="700"/>
      <c r="H54" s="700"/>
    </row>
    <row r="55" spans="1:8">
      <c r="A55" s="653"/>
      <c r="B55" s="653"/>
      <c r="C55" s="242"/>
      <c r="D55" s="470"/>
      <c r="E55" s="680"/>
      <c r="F55" s="681"/>
      <c r="G55" s="682"/>
      <c r="H55" s="682"/>
    </row>
    <row r="56" spans="1:8" ht="31.5">
      <c r="A56" s="653"/>
      <c r="B56" s="653"/>
      <c r="C56" s="242" t="s">
        <v>295</v>
      </c>
      <c r="D56" s="470"/>
      <c r="E56" s="680"/>
      <c r="F56" s="681"/>
      <c r="G56" s="682"/>
      <c r="H56" s="682"/>
    </row>
    <row r="57" spans="1:8" ht="47.25">
      <c r="A57" s="653" t="s">
        <v>31</v>
      </c>
      <c r="B57" s="653"/>
      <c r="C57" s="661" t="s">
        <v>1725</v>
      </c>
      <c r="D57" s="242"/>
      <c r="E57" s="679"/>
      <c r="F57" s="657"/>
      <c r="G57" s="658"/>
      <c r="H57" s="658"/>
    </row>
    <row r="58" spans="1:8" ht="63">
      <c r="A58" s="653"/>
      <c r="B58" s="653"/>
      <c r="C58" s="242" t="s">
        <v>416</v>
      </c>
      <c r="D58" s="242"/>
      <c r="E58" s="679"/>
      <c r="F58" s="657"/>
      <c r="G58" s="658"/>
      <c r="H58" s="658"/>
    </row>
    <row r="59" spans="1:8" ht="47.25">
      <c r="A59" s="653"/>
      <c r="B59" s="653"/>
      <c r="C59" s="242" t="s">
        <v>417</v>
      </c>
      <c r="D59" s="242"/>
      <c r="E59" s="679"/>
      <c r="F59" s="657"/>
      <c r="G59" s="658"/>
      <c r="H59" s="658"/>
    </row>
    <row r="60" spans="1:8">
      <c r="A60" s="653"/>
      <c r="B60" s="653"/>
      <c r="C60" s="949" t="s">
        <v>392</v>
      </c>
      <c r="D60" s="951" t="s">
        <v>393</v>
      </c>
      <c r="E60" s="952">
        <f>[2]Računaljka!I22</f>
        <v>7.8660000000000005</v>
      </c>
      <c r="F60" s="953">
        <v>5.0999999999999996</v>
      </c>
      <c r="G60" s="700"/>
      <c r="H60" s="700"/>
    </row>
    <row r="61" spans="1:8" ht="31.5">
      <c r="A61" s="653"/>
      <c r="B61" s="653"/>
      <c r="C61" s="242" t="s">
        <v>296</v>
      </c>
      <c r="D61" s="470"/>
      <c r="E61" s="680"/>
      <c r="F61" s="681"/>
      <c r="G61" s="682"/>
      <c r="H61" s="682"/>
    </row>
    <row r="62" spans="1:8" ht="47.25">
      <c r="A62" s="653" t="s">
        <v>53</v>
      </c>
      <c r="B62" s="653"/>
      <c r="C62" s="661" t="s">
        <v>1726</v>
      </c>
      <c r="D62" s="242"/>
      <c r="E62" s="679"/>
      <c r="F62" s="657"/>
      <c r="G62" s="658"/>
      <c r="H62" s="658"/>
    </row>
    <row r="63" spans="1:8" ht="63">
      <c r="A63" s="653"/>
      <c r="B63" s="653"/>
      <c r="C63" s="242" t="s">
        <v>418</v>
      </c>
      <c r="D63" s="242"/>
      <c r="E63" s="679"/>
      <c r="F63" s="657"/>
      <c r="G63" s="658"/>
      <c r="H63" s="658"/>
    </row>
    <row r="64" spans="1:8" ht="47.25">
      <c r="A64" s="653"/>
      <c r="B64" s="653"/>
      <c r="C64" s="242" t="s">
        <v>419</v>
      </c>
      <c r="D64" s="242"/>
      <c r="E64" s="679"/>
      <c r="F64" s="657"/>
      <c r="G64" s="658"/>
      <c r="H64" s="658"/>
    </row>
    <row r="65" spans="1:8">
      <c r="A65" s="653"/>
      <c r="B65" s="653"/>
      <c r="C65" s="949" t="s">
        <v>392</v>
      </c>
      <c r="D65" s="951" t="s">
        <v>393</v>
      </c>
      <c r="E65" s="952">
        <f>[2]Računaljka!I24</f>
        <v>8.8000000000000007</v>
      </c>
      <c r="F65" s="953">
        <v>5.0999999999999996</v>
      </c>
      <c r="G65" s="700"/>
      <c r="H65" s="700"/>
    </row>
    <row r="66" spans="1:8">
      <c r="A66" s="653"/>
      <c r="B66" s="653"/>
      <c r="C66" s="242" t="s">
        <v>297</v>
      </c>
      <c r="D66" s="470"/>
      <c r="E66" s="680"/>
      <c r="F66" s="681"/>
      <c r="G66" s="682"/>
      <c r="H66" s="682"/>
    </row>
    <row r="67" spans="1:8" ht="94.5">
      <c r="A67" s="653" t="s">
        <v>32</v>
      </c>
      <c r="B67" s="653"/>
      <c r="C67" s="661" t="s">
        <v>420</v>
      </c>
      <c r="D67" s="470"/>
      <c r="E67" s="679"/>
      <c r="F67" s="657"/>
      <c r="G67" s="658"/>
      <c r="H67" s="658"/>
    </row>
    <row r="68" spans="1:8" ht="78.75">
      <c r="A68" s="653"/>
      <c r="B68" s="653"/>
      <c r="C68" s="242" t="s">
        <v>1962</v>
      </c>
      <c r="D68" s="470"/>
      <c r="E68" s="679"/>
      <c r="F68" s="657"/>
      <c r="G68" s="658"/>
      <c r="H68" s="658"/>
    </row>
    <row r="69" spans="1:8" ht="31.5">
      <c r="A69" s="653"/>
      <c r="B69" s="653"/>
      <c r="C69" s="242" t="s">
        <v>421</v>
      </c>
      <c r="D69" s="470"/>
      <c r="E69" s="679"/>
      <c r="F69" s="657"/>
      <c r="G69" s="658"/>
      <c r="H69" s="658"/>
    </row>
    <row r="70" spans="1:8">
      <c r="A70" s="653"/>
      <c r="B70" s="653"/>
      <c r="C70" s="949" t="s">
        <v>392</v>
      </c>
      <c r="D70" s="951" t="s">
        <v>393</v>
      </c>
      <c r="E70" s="952">
        <f>[2]Računaljka!I26</f>
        <v>25.936</v>
      </c>
      <c r="F70" s="954">
        <v>17.7</v>
      </c>
      <c r="G70" s="955"/>
      <c r="H70" s="955"/>
    </row>
    <row r="71" spans="1:8" ht="31.5">
      <c r="A71" s="653"/>
      <c r="B71" s="653"/>
      <c r="C71" s="242" t="s">
        <v>298</v>
      </c>
      <c r="D71" s="470"/>
      <c r="E71" s="680"/>
      <c r="F71" s="683"/>
      <c r="G71" s="684"/>
      <c r="H71" s="684"/>
    </row>
    <row r="72" spans="1:8" ht="94.5">
      <c r="A72" s="653" t="s">
        <v>299</v>
      </c>
      <c r="B72" s="653"/>
      <c r="C72" s="661" t="s">
        <v>1727</v>
      </c>
      <c r="D72" s="635"/>
      <c r="E72" s="679"/>
      <c r="F72" s="657"/>
      <c r="G72" s="658"/>
      <c r="H72" s="658"/>
    </row>
    <row r="73" spans="1:8" ht="47.25">
      <c r="A73" s="653"/>
      <c r="B73" s="653"/>
      <c r="C73" s="242" t="s">
        <v>1728</v>
      </c>
      <c r="D73" s="470"/>
      <c r="E73" s="679"/>
      <c r="F73" s="657"/>
      <c r="G73" s="658"/>
      <c r="H73" s="658"/>
    </row>
    <row r="74" spans="1:8" ht="47.25">
      <c r="A74" s="653"/>
      <c r="B74" s="653"/>
      <c r="C74" s="242" t="s">
        <v>422</v>
      </c>
      <c r="D74" s="470"/>
      <c r="E74" s="679"/>
      <c r="F74" s="657"/>
      <c r="G74" s="658"/>
      <c r="H74" s="658"/>
    </row>
    <row r="75" spans="1:8" ht="31.5">
      <c r="A75" s="653"/>
      <c r="B75" s="653"/>
      <c r="C75" s="242" t="s">
        <v>423</v>
      </c>
      <c r="D75" s="470"/>
      <c r="E75" s="680"/>
      <c r="F75" s="683"/>
      <c r="G75" s="684"/>
      <c r="H75" s="684"/>
    </row>
    <row r="76" spans="1:8">
      <c r="A76" s="653"/>
      <c r="B76" s="653"/>
      <c r="C76" s="949" t="s">
        <v>392</v>
      </c>
      <c r="D76" s="951" t="s">
        <v>393</v>
      </c>
      <c r="E76" s="952">
        <f>[2]Računaljka!I28</f>
        <v>19.199499999999997</v>
      </c>
      <c r="F76" s="954">
        <v>17.7</v>
      </c>
      <c r="G76" s="955"/>
      <c r="H76" s="955"/>
    </row>
    <row r="77" spans="1:8" ht="47.25">
      <c r="A77" s="653"/>
      <c r="B77" s="653"/>
      <c r="C77" s="242" t="s">
        <v>300</v>
      </c>
      <c r="D77" s="470"/>
      <c r="E77" s="680"/>
      <c r="F77" s="683"/>
      <c r="G77" s="684"/>
      <c r="H77" s="684"/>
    </row>
    <row r="78" spans="1:8" ht="31.5">
      <c r="A78" s="653" t="s">
        <v>301</v>
      </c>
      <c r="B78" s="653"/>
      <c r="C78" s="661" t="s">
        <v>424</v>
      </c>
      <c r="D78" s="470"/>
      <c r="E78" s="680"/>
      <c r="F78" s="683"/>
      <c r="G78" s="684"/>
      <c r="H78" s="684"/>
    </row>
    <row r="79" spans="1:8" ht="78.75">
      <c r="A79" s="653"/>
      <c r="B79" s="653"/>
      <c r="C79" s="242" t="s">
        <v>425</v>
      </c>
      <c r="D79" s="470"/>
      <c r="E79" s="680"/>
      <c r="F79" s="683"/>
      <c r="G79" s="684"/>
      <c r="H79" s="684"/>
    </row>
    <row r="80" spans="1:8">
      <c r="A80" s="653"/>
      <c r="B80" s="653"/>
      <c r="C80" s="949" t="s">
        <v>392</v>
      </c>
      <c r="D80" s="951" t="s">
        <v>393</v>
      </c>
      <c r="E80" s="952">
        <f>[2]Računaljka!I30</f>
        <v>8.8000000000000007</v>
      </c>
      <c r="F80" s="954">
        <v>19.899999999999999</v>
      </c>
      <c r="G80" s="955"/>
      <c r="H80" s="955"/>
    </row>
    <row r="81" spans="1:8">
      <c r="A81" s="653"/>
      <c r="B81" s="653"/>
      <c r="C81" s="242" t="s">
        <v>302</v>
      </c>
      <c r="D81" s="470"/>
      <c r="E81" s="680"/>
      <c r="F81" s="683"/>
      <c r="G81" s="684"/>
      <c r="H81" s="684"/>
    </row>
    <row r="82" spans="1:8" ht="31.5">
      <c r="A82" s="653" t="s">
        <v>303</v>
      </c>
      <c r="B82" s="653"/>
      <c r="C82" s="661" t="s">
        <v>426</v>
      </c>
      <c r="D82" s="242"/>
      <c r="E82" s="242"/>
      <c r="F82" s="683"/>
      <c r="G82" s="684"/>
      <c r="H82" s="684"/>
    </row>
    <row r="83" spans="1:8" ht="63">
      <c r="A83" s="653"/>
      <c r="B83" s="653"/>
      <c r="C83" s="242" t="s">
        <v>1963</v>
      </c>
      <c r="D83" s="242"/>
      <c r="E83" s="242"/>
      <c r="F83" s="683"/>
      <c r="G83" s="684"/>
      <c r="H83" s="684"/>
    </row>
    <row r="84" spans="1:8" ht="31.5">
      <c r="A84" s="653"/>
      <c r="B84" s="653"/>
      <c r="C84" s="242" t="s">
        <v>1769</v>
      </c>
      <c r="D84" s="470" t="s">
        <v>393</v>
      </c>
      <c r="E84" s="956">
        <v>75.03</v>
      </c>
      <c r="F84" s="683">
        <v>10</v>
      </c>
      <c r="G84" s="684"/>
      <c r="H84" s="684"/>
    </row>
    <row r="85" spans="1:8">
      <c r="A85" s="653"/>
      <c r="B85" s="653"/>
      <c r="C85" s="242" t="s">
        <v>1771</v>
      </c>
      <c r="D85" s="242"/>
      <c r="E85" s="242"/>
      <c r="F85" s="683"/>
      <c r="G85" s="684"/>
      <c r="H85" s="684"/>
    </row>
    <row r="86" spans="1:8">
      <c r="A86" s="1108" t="s">
        <v>1387</v>
      </c>
      <c r="B86" s="1108"/>
      <c r="C86" s="1108"/>
      <c r="D86" s="1108"/>
      <c r="E86" s="1108"/>
      <c r="F86" s="1108"/>
      <c r="G86" s="1108"/>
      <c r="H86" s="980"/>
    </row>
    <row r="87" spans="1:8">
      <c r="A87" s="653"/>
      <c r="B87" s="653"/>
      <c r="C87" s="675"/>
      <c r="D87" s="675"/>
      <c r="E87" s="675"/>
      <c r="F87" s="675"/>
      <c r="G87" s="675"/>
      <c r="H87" s="689"/>
    </row>
    <row r="88" spans="1:8">
      <c r="A88" s="692" t="s">
        <v>2</v>
      </c>
      <c r="B88" s="693"/>
      <c r="C88" s="1109" t="s">
        <v>427</v>
      </c>
      <c r="D88" s="1109"/>
      <c r="E88" s="1109"/>
      <c r="F88" s="657"/>
      <c r="G88" s="658"/>
      <c r="H88" s="658"/>
    </row>
    <row r="89" spans="1:8" ht="63">
      <c r="A89" s="693" t="s">
        <v>33</v>
      </c>
      <c r="B89" s="653" t="s">
        <v>54</v>
      </c>
      <c r="C89" s="661" t="s">
        <v>1768</v>
      </c>
      <c r="D89" s="678"/>
      <c r="E89" s="656"/>
      <c r="F89" s="657"/>
      <c r="G89" s="658"/>
      <c r="H89" s="658"/>
    </row>
    <row r="90" spans="1:8" ht="31.5">
      <c r="A90" s="693"/>
      <c r="B90" s="653"/>
      <c r="C90" s="242" t="s">
        <v>428</v>
      </c>
      <c r="D90" s="678"/>
      <c r="E90" s="656"/>
      <c r="F90" s="657"/>
      <c r="G90" s="658"/>
      <c r="H90" s="658"/>
    </row>
    <row r="91" spans="1:8" ht="63">
      <c r="A91" s="693"/>
      <c r="B91" s="653"/>
      <c r="C91" s="242" t="s">
        <v>429</v>
      </c>
      <c r="D91" s="678"/>
      <c r="E91" s="656"/>
      <c r="F91" s="657"/>
      <c r="G91" s="658"/>
      <c r="H91" s="658"/>
    </row>
    <row r="92" spans="1:8" ht="31.5">
      <c r="A92" s="693"/>
      <c r="B92" s="653"/>
      <c r="C92" s="242" t="s">
        <v>421</v>
      </c>
      <c r="D92" s="678"/>
      <c r="E92" s="656"/>
      <c r="F92" s="657"/>
      <c r="G92" s="658"/>
      <c r="H92" s="658"/>
    </row>
    <row r="93" spans="1:8">
      <c r="A93" s="693"/>
      <c r="B93" s="653"/>
      <c r="C93" s="949" t="s">
        <v>430</v>
      </c>
      <c r="D93" s="957" t="s">
        <v>393</v>
      </c>
      <c r="E93" s="948">
        <f>[2]Računaljka!I36</f>
        <v>17.576000000000001</v>
      </c>
      <c r="F93" s="701">
        <v>85.02</v>
      </c>
      <c r="G93" s="702"/>
      <c r="H93" s="702"/>
    </row>
    <row r="94" spans="1:8" ht="63">
      <c r="A94" s="693"/>
      <c r="B94" s="653"/>
      <c r="C94" s="242" t="s">
        <v>304</v>
      </c>
      <c r="D94" s="678"/>
      <c r="E94" s="656"/>
      <c r="F94" s="657"/>
      <c r="G94" s="658"/>
      <c r="H94" s="658"/>
    </row>
    <row r="95" spans="1:8" ht="63">
      <c r="A95" s="693" t="s">
        <v>34</v>
      </c>
      <c r="B95" s="653"/>
      <c r="C95" s="661" t="s">
        <v>431</v>
      </c>
      <c r="D95" s="678"/>
      <c r="E95" s="656"/>
      <c r="F95" s="657"/>
      <c r="G95" s="658"/>
      <c r="H95" s="658"/>
    </row>
    <row r="96" spans="1:8" ht="47.25">
      <c r="A96" s="693"/>
      <c r="B96" s="653"/>
      <c r="C96" s="242" t="s">
        <v>432</v>
      </c>
      <c r="D96" s="678"/>
      <c r="E96" s="656"/>
      <c r="F96" s="657"/>
      <c r="G96" s="658"/>
      <c r="H96" s="658"/>
    </row>
    <row r="97" spans="1:8" ht="78.75">
      <c r="A97" s="693"/>
      <c r="B97" s="653"/>
      <c r="C97" s="242" t="s">
        <v>433</v>
      </c>
      <c r="D97" s="678"/>
      <c r="E97" s="656"/>
      <c r="F97" s="657"/>
      <c r="G97" s="658"/>
      <c r="H97" s="658"/>
    </row>
    <row r="98" spans="1:8" ht="31.5">
      <c r="A98" s="693"/>
      <c r="B98" s="653"/>
      <c r="C98" s="242" t="s">
        <v>434</v>
      </c>
      <c r="D98" s="678"/>
      <c r="E98" s="656"/>
      <c r="F98" s="657"/>
      <c r="G98" s="658"/>
      <c r="H98" s="658"/>
    </row>
    <row r="99" spans="1:8">
      <c r="A99" s="693"/>
      <c r="B99" s="653"/>
      <c r="C99" s="949" t="s">
        <v>410</v>
      </c>
      <c r="D99" s="957" t="s">
        <v>399</v>
      </c>
      <c r="E99" s="700">
        <f>[2]Računaljka!I38</f>
        <v>27.9</v>
      </c>
      <c r="F99" s="701">
        <v>19.11</v>
      </c>
      <c r="G99" s="702"/>
      <c r="H99" s="702"/>
    </row>
    <row r="100" spans="1:8">
      <c r="A100" s="693"/>
      <c r="B100" s="653"/>
      <c r="C100" s="242" t="s">
        <v>305</v>
      </c>
      <c r="D100" s="678"/>
      <c r="E100" s="656"/>
      <c r="F100" s="657"/>
      <c r="G100" s="658"/>
      <c r="H100" s="658"/>
    </row>
    <row r="101" spans="1:8" ht="78.75">
      <c r="A101" s="693" t="s">
        <v>48</v>
      </c>
      <c r="B101" s="653"/>
      <c r="C101" s="661" t="s">
        <v>435</v>
      </c>
      <c r="D101" s="678"/>
      <c r="E101" s="656"/>
      <c r="F101" s="657"/>
      <c r="G101" s="658"/>
      <c r="H101" s="658"/>
    </row>
    <row r="102" spans="1:8" ht="47.25">
      <c r="A102" s="693"/>
      <c r="B102" s="653"/>
      <c r="C102" s="242" t="s">
        <v>432</v>
      </c>
      <c r="D102" s="678"/>
      <c r="E102" s="656"/>
      <c r="F102" s="657"/>
      <c r="G102" s="658"/>
      <c r="H102" s="658"/>
    </row>
    <row r="103" spans="1:8" ht="78.75">
      <c r="A103" s="693"/>
      <c r="B103" s="653"/>
      <c r="C103" s="242" t="s">
        <v>436</v>
      </c>
      <c r="D103" s="678"/>
      <c r="E103" s="656"/>
      <c r="F103" s="657"/>
      <c r="G103" s="658"/>
      <c r="H103" s="658"/>
    </row>
    <row r="104" spans="1:8" ht="31.5">
      <c r="A104" s="693"/>
      <c r="B104" s="653"/>
      <c r="C104" s="242" t="s">
        <v>434</v>
      </c>
      <c r="D104" s="678"/>
      <c r="E104" s="656"/>
      <c r="F104" s="657"/>
      <c r="G104" s="658"/>
      <c r="H104" s="658"/>
    </row>
    <row r="105" spans="1:8">
      <c r="A105" s="693"/>
      <c r="B105" s="653"/>
      <c r="C105" s="949" t="s">
        <v>410</v>
      </c>
      <c r="D105" s="957" t="s">
        <v>399</v>
      </c>
      <c r="E105" s="700">
        <f>[2]Računaljka!I40</f>
        <v>13.5</v>
      </c>
      <c r="F105" s="701">
        <v>22</v>
      </c>
      <c r="G105" s="702"/>
      <c r="H105" s="702"/>
    </row>
    <row r="106" spans="1:8">
      <c r="A106" s="693"/>
      <c r="B106" s="653"/>
      <c r="C106" s="242" t="s">
        <v>306</v>
      </c>
      <c r="D106" s="678"/>
      <c r="E106" s="656"/>
      <c r="F106" s="657"/>
      <c r="G106" s="658"/>
      <c r="H106" s="658"/>
    </row>
    <row r="107" spans="1:8" ht="47.25">
      <c r="A107" s="653" t="s">
        <v>132</v>
      </c>
      <c r="B107" s="653"/>
      <c r="C107" s="661" t="s">
        <v>437</v>
      </c>
      <c r="D107" s="678"/>
      <c r="E107" s="656"/>
      <c r="F107" s="657"/>
      <c r="G107" s="658"/>
      <c r="H107" s="658"/>
    </row>
    <row r="108" spans="1:8" ht="63">
      <c r="A108" s="653"/>
      <c r="B108" s="653"/>
      <c r="C108" s="242" t="s">
        <v>438</v>
      </c>
      <c r="D108" s="678"/>
      <c r="E108" s="656"/>
      <c r="F108" s="657"/>
      <c r="G108" s="658"/>
      <c r="H108" s="658"/>
    </row>
    <row r="109" spans="1:8" ht="63">
      <c r="A109" s="653"/>
      <c r="B109" s="653"/>
      <c r="C109" s="242" t="s">
        <v>439</v>
      </c>
      <c r="D109" s="678"/>
      <c r="E109" s="656"/>
      <c r="F109" s="657"/>
      <c r="G109" s="658"/>
      <c r="H109" s="658"/>
    </row>
    <row r="110" spans="1:8">
      <c r="A110" s="653"/>
      <c r="B110" s="653"/>
      <c r="C110" s="949" t="s">
        <v>392</v>
      </c>
      <c r="D110" s="957" t="s">
        <v>393</v>
      </c>
      <c r="E110" s="948">
        <f>[2]Računaljka!I42</f>
        <v>1.5389999999999999</v>
      </c>
      <c r="F110" s="701">
        <v>102</v>
      </c>
      <c r="G110" s="702"/>
      <c r="H110" s="702"/>
    </row>
    <row r="111" spans="1:8" ht="31.5">
      <c r="A111" s="653"/>
      <c r="B111" s="653"/>
      <c r="C111" s="242" t="s">
        <v>307</v>
      </c>
      <c r="D111" s="678"/>
      <c r="E111" s="656"/>
      <c r="F111" s="657"/>
      <c r="G111" s="658"/>
      <c r="H111" s="658"/>
    </row>
    <row r="112" spans="1:8" ht="31.5">
      <c r="A112" s="653" t="s">
        <v>134</v>
      </c>
      <c r="B112" s="653"/>
      <c r="C112" s="661" t="s">
        <v>440</v>
      </c>
      <c r="D112" s="678"/>
      <c r="E112" s="656"/>
      <c r="F112" s="657"/>
      <c r="G112" s="658"/>
      <c r="H112" s="658"/>
    </row>
    <row r="113" spans="1:8" ht="63">
      <c r="A113" s="653"/>
      <c r="B113" s="653"/>
      <c r="C113" s="242" t="s">
        <v>441</v>
      </c>
      <c r="D113" s="678"/>
      <c r="E113" s="656"/>
      <c r="F113" s="657"/>
      <c r="G113" s="658"/>
      <c r="H113" s="658"/>
    </row>
    <row r="114" spans="1:8" ht="63">
      <c r="A114" s="653"/>
      <c r="B114" s="653"/>
      <c r="C114" s="242" t="s">
        <v>442</v>
      </c>
      <c r="D114" s="678"/>
      <c r="E114" s="656"/>
      <c r="F114" s="657"/>
      <c r="G114" s="658"/>
      <c r="H114" s="658"/>
    </row>
    <row r="115" spans="1:8" ht="47.25">
      <c r="A115" s="653"/>
      <c r="B115" s="653"/>
      <c r="C115" s="242" t="s">
        <v>1733</v>
      </c>
      <c r="D115" s="678"/>
      <c r="E115" s="656"/>
      <c r="F115" s="657"/>
      <c r="G115" s="658"/>
      <c r="H115" s="658"/>
    </row>
    <row r="116" spans="1:8">
      <c r="A116" s="653"/>
      <c r="B116" s="653"/>
      <c r="C116" s="949" t="s">
        <v>410</v>
      </c>
      <c r="D116" s="957" t="s">
        <v>399</v>
      </c>
      <c r="E116" s="948">
        <f>[2]Računaljka!I44</f>
        <v>129.68</v>
      </c>
      <c r="F116" s="701">
        <v>19.5</v>
      </c>
      <c r="G116" s="702"/>
      <c r="H116" s="702"/>
    </row>
    <row r="117" spans="1:8">
      <c r="A117" s="653"/>
      <c r="B117" s="653"/>
      <c r="C117" s="242" t="s">
        <v>308</v>
      </c>
      <c r="D117" s="678"/>
      <c r="E117" s="656"/>
      <c r="F117" s="657"/>
      <c r="G117" s="658"/>
      <c r="H117" s="658"/>
    </row>
    <row r="118" spans="1:8" ht="63">
      <c r="A118" s="653" t="s">
        <v>309</v>
      </c>
      <c r="B118" s="653"/>
      <c r="C118" s="667" t="s">
        <v>1770</v>
      </c>
      <c r="D118" s="678"/>
      <c r="E118" s="656"/>
      <c r="F118" s="657"/>
      <c r="G118" s="658"/>
      <c r="H118" s="658"/>
    </row>
    <row r="119" spans="1:8" ht="47.25">
      <c r="A119" s="653"/>
      <c r="B119" s="653"/>
      <c r="C119" s="242" t="s">
        <v>443</v>
      </c>
      <c r="D119" s="678"/>
      <c r="E119" s="656"/>
      <c r="F119" s="657"/>
      <c r="G119" s="658"/>
      <c r="H119" s="658"/>
    </row>
    <row r="120" spans="1:8" ht="78.75">
      <c r="A120" s="653"/>
      <c r="B120" s="653"/>
      <c r="C120" s="242" t="s">
        <v>444</v>
      </c>
      <c r="D120" s="678"/>
      <c r="E120" s="656"/>
      <c r="F120" s="657"/>
      <c r="G120" s="658"/>
      <c r="H120" s="658"/>
    </row>
    <row r="121" spans="1:8" ht="94.5">
      <c r="A121" s="653"/>
      <c r="B121" s="653"/>
      <c r="C121" s="242" t="s">
        <v>445</v>
      </c>
      <c r="D121" s="678"/>
      <c r="E121" s="656"/>
      <c r="F121" s="657"/>
      <c r="G121" s="658"/>
      <c r="H121" s="658"/>
    </row>
    <row r="122" spans="1:8" ht="31.5">
      <c r="A122" s="653"/>
      <c r="B122" s="653"/>
      <c r="C122" s="242" t="s">
        <v>1777</v>
      </c>
      <c r="D122" s="678"/>
      <c r="E122" s="656"/>
      <c r="F122" s="657"/>
      <c r="G122" s="658"/>
      <c r="H122" s="658"/>
    </row>
    <row r="123" spans="1:8">
      <c r="A123" s="653"/>
      <c r="B123" s="653"/>
      <c r="C123" s="242"/>
      <c r="D123" s="678"/>
      <c r="E123" s="656"/>
      <c r="F123" s="657"/>
      <c r="G123" s="658"/>
      <c r="H123" s="658"/>
    </row>
    <row r="124" spans="1:8">
      <c r="A124" s="653"/>
      <c r="B124" s="653"/>
      <c r="C124" s="949" t="s">
        <v>410</v>
      </c>
      <c r="D124" s="957" t="s">
        <v>399</v>
      </c>
      <c r="E124" s="948">
        <f>[2]Računaljka!I46</f>
        <v>79</v>
      </c>
      <c r="F124" s="701">
        <v>15.2</v>
      </c>
      <c r="G124" s="702"/>
      <c r="H124" s="702"/>
    </row>
    <row r="125" spans="1:8">
      <c r="A125" s="653"/>
      <c r="B125" s="653"/>
      <c r="C125" s="242" t="s">
        <v>310</v>
      </c>
      <c r="D125" s="678"/>
      <c r="E125" s="656"/>
      <c r="F125" s="657"/>
      <c r="G125" s="658"/>
      <c r="H125" s="658"/>
    </row>
    <row r="126" spans="1:8" ht="63">
      <c r="A126" s="653" t="s">
        <v>311</v>
      </c>
      <c r="B126" s="653"/>
      <c r="C126" s="667" t="s">
        <v>446</v>
      </c>
      <c r="D126" s="678"/>
      <c r="E126" s="656"/>
      <c r="F126" s="657"/>
      <c r="G126" s="658"/>
      <c r="H126" s="658"/>
    </row>
    <row r="127" spans="1:8" ht="110.25">
      <c r="A127" s="653"/>
      <c r="B127" s="653"/>
      <c r="C127" s="666" t="s">
        <v>447</v>
      </c>
      <c r="D127" s="678"/>
      <c r="E127" s="656"/>
      <c r="F127" s="657"/>
      <c r="G127" s="658"/>
      <c r="H127" s="658"/>
    </row>
    <row r="128" spans="1:8" ht="31.5">
      <c r="A128" s="653"/>
      <c r="B128" s="653"/>
      <c r="C128" s="666" t="s">
        <v>448</v>
      </c>
      <c r="D128" s="678"/>
      <c r="E128" s="656"/>
      <c r="F128" s="657"/>
      <c r="G128" s="658"/>
      <c r="H128" s="658"/>
    </row>
    <row r="129" spans="1:8" ht="31.5">
      <c r="A129" s="653"/>
      <c r="B129" s="653"/>
      <c r="C129" s="242" t="s">
        <v>421</v>
      </c>
      <c r="D129" s="678"/>
      <c r="E129" s="656"/>
      <c r="F129" s="657"/>
      <c r="G129" s="658"/>
      <c r="H129" s="658"/>
    </row>
    <row r="130" spans="1:8">
      <c r="A130" s="653"/>
      <c r="B130" s="653"/>
      <c r="C130" s="944" t="s">
        <v>410</v>
      </c>
      <c r="D130" s="957" t="s">
        <v>399</v>
      </c>
      <c r="E130" s="948">
        <v>740</v>
      </c>
      <c r="F130" s="701">
        <v>18</v>
      </c>
      <c r="G130" s="702"/>
      <c r="H130" s="702"/>
    </row>
    <row r="131" spans="1:8" ht="63">
      <c r="A131" s="653" t="s">
        <v>312</v>
      </c>
      <c r="B131" s="653"/>
      <c r="C131" s="661" t="s">
        <v>1964</v>
      </c>
      <c r="D131" s="678"/>
      <c r="E131" s="656"/>
      <c r="F131" s="657"/>
      <c r="G131" s="658"/>
      <c r="H131" s="658"/>
    </row>
    <row r="132" spans="1:8" ht="110.25">
      <c r="A132" s="653"/>
      <c r="B132" s="653"/>
      <c r="C132" s="242" t="s">
        <v>1799</v>
      </c>
      <c r="D132" s="678"/>
      <c r="E132" s="656"/>
      <c r="F132" s="657"/>
      <c r="G132" s="658"/>
      <c r="H132" s="658"/>
    </row>
    <row r="133" spans="1:8" ht="63">
      <c r="A133" s="653"/>
      <c r="B133" s="653"/>
      <c r="C133" s="242" t="s">
        <v>1797</v>
      </c>
      <c r="D133" s="678"/>
      <c r="E133" s="656"/>
      <c r="F133" s="657"/>
      <c r="G133" s="658"/>
      <c r="H133" s="658"/>
    </row>
    <row r="134" spans="1:8">
      <c r="A134" s="653"/>
      <c r="B134" s="653"/>
      <c r="C134" s="242"/>
      <c r="D134" s="678"/>
      <c r="E134" s="656"/>
      <c r="F134" s="657"/>
      <c r="G134" s="658"/>
      <c r="H134" s="658"/>
    </row>
    <row r="135" spans="1:8" ht="47.25">
      <c r="A135" s="653"/>
      <c r="B135" s="653"/>
      <c r="C135" s="242" t="s">
        <v>1798</v>
      </c>
      <c r="D135" s="678"/>
      <c r="E135" s="656"/>
      <c r="F135" s="657"/>
      <c r="G135" s="658"/>
      <c r="H135" s="658"/>
    </row>
    <row r="136" spans="1:8">
      <c r="A136" s="958"/>
      <c r="B136" s="958"/>
      <c r="C136" s="949" t="s">
        <v>449</v>
      </c>
      <c r="D136" s="957" t="s">
        <v>450</v>
      </c>
      <c r="E136" s="948">
        <v>22</v>
      </c>
      <c r="F136" s="701">
        <v>12</v>
      </c>
      <c r="G136" s="702"/>
      <c r="H136" s="702"/>
    </row>
    <row r="137" spans="1:8">
      <c r="A137" s="1110" t="s">
        <v>451</v>
      </c>
      <c r="B137" s="1110"/>
      <c r="C137" s="1110"/>
      <c r="D137" s="1110"/>
      <c r="E137" s="1110"/>
      <c r="F137" s="1110"/>
      <c r="G137" s="1110"/>
      <c r="H137" s="752"/>
    </row>
    <row r="138" spans="1:8">
      <c r="A138" s="653"/>
      <c r="B138" s="653"/>
      <c r="C138" s="242"/>
      <c r="D138" s="678"/>
      <c r="E138" s="656"/>
      <c r="F138" s="657"/>
      <c r="G138" s="658"/>
      <c r="H138" s="658"/>
    </row>
    <row r="139" spans="1:8">
      <c r="A139" s="690" t="s">
        <v>3</v>
      </c>
      <c r="B139" s="693"/>
      <c r="C139" s="654" t="s">
        <v>1735</v>
      </c>
      <c r="D139" s="678"/>
      <c r="E139" s="656"/>
      <c r="F139" s="657"/>
      <c r="G139" s="658"/>
      <c r="H139" s="658"/>
    </row>
    <row r="140" spans="1:8">
      <c r="A140" s="653"/>
      <c r="B140" s="653"/>
      <c r="C140" s="242"/>
      <c r="D140" s="678"/>
      <c r="E140" s="656"/>
      <c r="F140" s="657"/>
      <c r="G140" s="658"/>
      <c r="H140" s="658"/>
    </row>
    <row r="141" spans="1:8" ht="31.5">
      <c r="A141" s="653" t="s">
        <v>35</v>
      </c>
      <c r="B141" s="653"/>
      <c r="C141" s="696" t="s">
        <v>1736</v>
      </c>
      <c r="D141" s="678"/>
      <c r="E141" s="656"/>
      <c r="F141" s="657"/>
      <c r="G141" s="658"/>
      <c r="H141" s="658"/>
    </row>
    <row r="142" spans="1:8" ht="78.75">
      <c r="A142" s="653"/>
      <c r="B142" s="653"/>
      <c r="C142" s="696" t="s">
        <v>1772</v>
      </c>
      <c r="D142" s="678"/>
      <c r="E142" s="656"/>
      <c r="F142" s="657"/>
      <c r="G142" s="658"/>
      <c r="H142" s="658"/>
    </row>
    <row r="143" spans="1:8" ht="31.5">
      <c r="A143" s="653"/>
      <c r="B143" s="653"/>
      <c r="C143" s="696" t="s">
        <v>1738</v>
      </c>
      <c r="D143" s="678" t="s">
        <v>642</v>
      </c>
      <c r="E143" s="682">
        <v>2015</v>
      </c>
      <c r="F143" s="657">
        <v>0.54</v>
      </c>
      <c r="G143" s="702"/>
      <c r="H143" s="702"/>
    </row>
    <row r="144" spans="1:8">
      <c r="A144" s="1110" t="s">
        <v>1796</v>
      </c>
      <c r="B144" s="1110"/>
      <c r="C144" s="1110"/>
      <c r="D144" s="1110"/>
      <c r="E144" s="1110"/>
      <c r="F144" s="1110"/>
      <c r="G144" s="1110"/>
      <c r="H144" s="752"/>
    </row>
    <row r="145" spans="1:8">
      <c r="A145" s="653"/>
      <c r="B145" s="653"/>
      <c r="C145" s="242"/>
      <c r="D145" s="678"/>
      <c r="E145" s="656"/>
      <c r="F145" s="657"/>
      <c r="G145" s="658"/>
      <c r="H145" s="658"/>
    </row>
    <row r="146" spans="1:8">
      <c r="A146" s="690" t="s">
        <v>4</v>
      </c>
      <c r="B146" s="693"/>
      <c r="C146" s="654" t="s">
        <v>452</v>
      </c>
      <c r="D146" s="678"/>
      <c r="E146" s="656"/>
      <c r="F146" s="657"/>
      <c r="G146" s="658"/>
      <c r="H146" s="658"/>
    </row>
    <row r="147" spans="1:8" ht="78.75">
      <c r="A147" s="653" t="s">
        <v>40</v>
      </c>
      <c r="B147" s="653"/>
      <c r="C147" s="661" t="s">
        <v>453</v>
      </c>
      <c r="D147" s="678"/>
      <c r="E147" s="656"/>
      <c r="F147" s="657"/>
      <c r="G147" s="658"/>
      <c r="H147" s="658"/>
    </row>
    <row r="148" spans="1:8" ht="94.5">
      <c r="A148" s="653"/>
      <c r="B148" s="653"/>
      <c r="C148" s="242" t="s">
        <v>454</v>
      </c>
      <c r="D148" s="678"/>
      <c r="E148" s="656"/>
      <c r="F148" s="657"/>
      <c r="G148" s="658"/>
      <c r="H148" s="658"/>
    </row>
    <row r="149" spans="1:8" ht="31.5">
      <c r="A149" s="653"/>
      <c r="B149" s="653"/>
      <c r="C149" s="242" t="s">
        <v>455</v>
      </c>
      <c r="D149" s="678"/>
      <c r="E149" s="656"/>
      <c r="F149" s="657"/>
      <c r="G149" s="658"/>
      <c r="H149" s="658"/>
    </row>
    <row r="150" spans="1:8">
      <c r="A150" s="653"/>
      <c r="B150" s="653"/>
      <c r="C150" s="949" t="s">
        <v>410</v>
      </c>
      <c r="D150" s="957" t="s">
        <v>399</v>
      </c>
      <c r="E150" s="948">
        <f>[2]Računaljka!I50</f>
        <v>47.56</v>
      </c>
      <c r="F150" s="701">
        <v>10</v>
      </c>
      <c r="G150" s="702"/>
      <c r="H150" s="702"/>
    </row>
    <row r="151" spans="1:8" ht="63">
      <c r="A151" s="653"/>
      <c r="B151" s="653"/>
      <c r="C151" s="242" t="s">
        <v>313</v>
      </c>
      <c r="D151" s="678"/>
      <c r="E151" s="656"/>
      <c r="F151" s="657"/>
      <c r="G151" s="658"/>
      <c r="H151" s="658"/>
    </row>
    <row r="152" spans="1:8" ht="47.25">
      <c r="A152" s="653" t="s">
        <v>62</v>
      </c>
      <c r="B152" s="653"/>
      <c r="C152" s="661" t="s">
        <v>456</v>
      </c>
      <c r="D152" s="678"/>
      <c r="E152" s="656"/>
      <c r="F152" s="657"/>
      <c r="G152" s="658"/>
      <c r="H152" s="658"/>
    </row>
    <row r="153" spans="1:8" ht="110.25">
      <c r="A153" s="653"/>
      <c r="B153" s="653"/>
      <c r="C153" s="242" t="s">
        <v>457</v>
      </c>
      <c r="D153" s="678"/>
      <c r="E153" s="656"/>
      <c r="F153" s="657"/>
      <c r="G153" s="658"/>
      <c r="H153" s="658"/>
    </row>
    <row r="154" spans="1:8" ht="47.25">
      <c r="A154" s="653"/>
      <c r="B154" s="653"/>
      <c r="C154" s="242" t="s">
        <v>458</v>
      </c>
      <c r="D154" s="678"/>
      <c r="E154" s="656"/>
      <c r="F154" s="657"/>
      <c r="G154" s="658"/>
      <c r="H154" s="658"/>
    </row>
    <row r="155" spans="1:8">
      <c r="A155" s="653"/>
      <c r="B155" s="653"/>
      <c r="C155" s="949" t="s">
        <v>459</v>
      </c>
      <c r="D155" s="957" t="s">
        <v>450</v>
      </c>
      <c r="E155" s="948">
        <f>[2]Računaljka!I52</f>
        <v>28.799999999999997</v>
      </c>
      <c r="F155" s="701">
        <v>7</v>
      </c>
      <c r="G155" s="702"/>
      <c r="H155" s="702"/>
    </row>
    <row r="156" spans="1:8">
      <c r="A156" s="958"/>
      <c r="B156" s="958"/>
      <c r="C156" s="949" t="s">
        <v>314</v>
      </c>
      <c r="D156" s="957"/>
      <c r="E156" s="948"/>
      <c r="F156" s="701"/>
      <c r="G156" s="702"/>
      <c r="H156" s="702"/>
    </row>
    <row r="157" spans="1:8">
      <c r="A157" s="1021" t="s">
        <v>460</v>
      </c>
      <c r="B157" s="1021"/>
      <c r="C157" s="1021"/>
      <c r="D157" s="1021"/>
      <c r="E157" s="1021"/>
      <c r="F157" s="1021"/>
      <c r="G157" s="1021"/>
      <c r="H157" s="752"/>
    </row>
    <row r="158" spans="1:8">
      <c r="A158" s="653"/>
      <c r="B158" s="653"/>
      <c r="C158" s="675"/>
      <c r="D158" s="675"/>
      <c r="E158" s="675"/>
      <c r="F158" s="675"/>
      <c r="G158" s="675"/>
      <c r="H158" s="689"/>
    </row>
    <row r="159" spans="1:8">
      <c r="A159" s="677" t="s">
        <v>5</v>
      </c>
      <c r="B159" s="653"/>
      <c r="C159" s="717" t="s">
        <v>461</v>
      </c>
      <c r="D159" s="678"/>
      <c r="E159" s="656"/>
      <c r="F159" s="657"/>
      <c r="G159" s="658"/>
      <c r="H159" s="658"/>
    </row>
    <row r="160" spans="1:8" ht="31.5">
      <c r="A160" s="655" t="s">
        <v>41</v>
      </c>
      <c r="B160" s="693"/>
      <c r="C160" s="661" t="s">
        <v>462</v>
      </c>
      <c r="D160" s="678"/>
      <c r="E160" s="656"/>
      <c r="F160" s="657"/>
      <c r="G160" s="658"/>
      <c r="H160" s="658"/>
    </row>
    <row r="161" spans="1:8" ht="47.25">
      <c r="A161" s="655"/>
      <c r="B161" s="693"/>
      <c r="C161" s="242" t="s">
        <v>1721</v>
      </c>
      <c r="D161" s="678"/>
      <c r="E161" s="656"/>
      <c r="F161" s="657"/>
      <c r="G161" s="658"/>
      <c r="H161" s="658"/>
    </row>
    <row r="162" spans="1:8" ht="94.5">
      <c r="A162" s="655"/>
      <c r="B162" s="693"/>
      <c r="C162" s="242" t="s">
        <v>464</v>
      </c>
      <c r="D162" s="678"/>
      <c r="E162" s="656"/>
      <c r="F162" s="657"/>
      <c r="G162" s="658"/>
      <c r="H162" s="658"/>
    </row>
    <row r="163" spans="1:8" ht="47.25">
      <c r="A163" s="655"/>
      <c r="B163" s="693"/>
      <c r="C163" s="666" t="s">
        <v>465</v>
      </c>
      <c r="D163" s="678"/>
      <c r="E163" s="656"/>
      <c r="F163" s="657"/>
      <c r="G163" s="658"/>
      <c r="H163" s="658"/>
    </row>
    <row r="164" spans="1:8" ht="63">
      <c r="A164" s="655"/>
      <c r="B164" s="693"/>
      <c r="C164" s="242" t="s">
        <v>466</v>
      </c>
      <c r="D164" s="678"/>
      <c r="E164" s="656"/>
      <c r="F164" s="657"/>
      <c r="G164" s="658"/>
      <c r="H164" s="658"/>
    </row>
    <row r="165" spans="1:8">
      <c r="A165" s="653"/>
      <c r="B165" s="693"/>
      <c r="C165" s="242" t="s">
        <v>467</v>
      </c>
      <c r="D165" s="678" t="s">
        <v>468</v>
      </c>
      <c r="E165" s="656">
        <v>18.100000000000001</v>
      </c>
      <c r="F165" s="657">
        <v>90</v>
      </c>
      <c r="G165" s="658"/>
      <c r="H165" s="658"/>
    </row>
    <row r="166" spans="1:8">
      <c r="A166" s="1108" t="s">
        <v>469</v>
      </c>
      <c r="B166" s="1108"/>
      <c r="C166" s="1108"/>
      <c r="D166" s="1108"/>
      <c r="E166" s="1108"/>
      <c r="F166" s="1108"/>
      <c r="G166" s="1108"/>
      <c r="H166" s="980"/>
    </row>
    <row r="167" spans="1:8">
      <c r="A167" s="653"/>
      <c r="B167" s="653"/>
      <c r="C167" s="675"/>
      <c r="D167" s="675"/>
      <c r="E167" s="675"/>
      <c r="F167" s="675"/>
      <c r="G167" s="675"/>
      <c r="H167" s="689"/>
    </row>
    <row r="168" spans="1:8">
      <c r="A168" s="677" t="s">
        <v>6</v>
      </c>
      <c r="B168" s="677"/>
      <c r="C168" s="705" t="s">
        <v>470</v>
      </c>
      <c r="D168" s="678"/>
      <c r="E168" s="656"/>
      <c r="F168" s="657"/>
      <c r="G168" s="658"/>
      <c r="H168" s="658"/>
    </row>
    <row r="169" spans="1:8" ht="31.5">
      <c r="A169" s="653" t="s">
        <v>1773</v>
      </c>
      <c r="B169" s="653"/>
      <c r="C169" s="661" t="s">
        <v>471</v>
      </c>
      <c r="D169" s="678"/>
      <c r="E169" s="656"/>
      <c r="F169" s="657"/>
      <c r="G169" s="658"/>
      <c r="H169" s="658"/>
    </row>
    <row r="170" spans="1:8" ht="78.75">
      <c r="A170" s="653"/>
      <c r="B170" s="653"/>
      <c r="C170" s="242" t="s">
        <v>472</v>
      </c>
      <c r="D170" s="678"/>
      <c r="E170" s="656"/>
      <c r="F170" s="657"/>
      <c r="G170" s="658"/>
      <c r="H170" s="658"/>
    </row>
    <row r="171" spans="1:8" ht="78.75">
      <c r="A171" s="653"/>
      <c r="B171" s="653"/>
      <c r="C171" s="242" t="s">
        <v>473</v>
      </c>
      <c r="D171" s="678"/>
      <c r="E171" s="656"/>
      <c r="F171" s="657"/>
      <c r="G171" s="658"/>
      <c r="H171" s="658"/>
    </row>
    <row r="172" spans="1:8" ht="31.5">
      <c r="A172" s="653"/>
      <c r="B172" s="653"/>
      <c r="C172" s="242" t="s">
        <v>474</v>
      </c>
      <c r="D172" s="678"/>
      <c r="E172" s="656"/>
      <c r="F172" s="657"/>
      <c r="G172" s="658"/>
      <c r="H172" s="658"/>
    </row>
    <row r="173" spans="1:8">
      <c r="A173" s="653"/>
      <c r="B173" s="653"/>
      <c r="C173" s="949" t="s">
        <v>449</v>
      </c>
      <c r="D173" s="957" t="s">
        <v>450</v>
      </c>
      <c r="E173" s="700">
        <f>[2]Računaljka!I59</f>
        <v>350</v>
      </c>
      <c r="F173" s="959">
        <v>2.1</v>
      </c>
      <c r="G173" s="702"/>
      <c r="H173" s="702"/>
    </row>
    <row r="174" spans="1:8">
      <c r="A174" s="653"/>
      <c r="B174" s="653"/>
      <c r="C174" s="242" t="s">
        <v>475</v>
      </c>
      <c r="D174" s="678"/>
      <c r="E174" s="682"/>
      <c r="F174" s="719"/>
      <c r="G174" s="658"/>
      <c r="H174" s="658"/>
    </row>
    <row r="175" spans="1:8">
      <c r="A175" s="653"/>
      <c r="B175" s="653"/>
      <c r="C175" s="242" t="s">
        <v>476</v>
      </c>
      <c r="D175" s="678"/>
      <c r="E175" s="682"/>
      <c r="F175" s="719"/>
      <c r="G175" s="658"/>
      <c r="H175" s="658"/>
    </row>
    <row r="176" spans="1:8" ht="31.5">
      <c r="A176" s="653" t="s">
        <v>100</v>
      </c>
      <c r="B176" s="653"/>
      <c r="C176" s="661" t="s">
        <v>477</v>
      </c>
      <c r="D176" s="678"/>
      <c r="E176" s="682"/>
      <c r="F176" s="719"/>
      <c r="G176" s="658"/>
      <c r="H176" s="658"/>
    </row>
    <row r="177" spans="1:8" ht="47.25">
      <c r="A177" s="653"/>
      <c r="B177" s="653"/>
      <c r="C177" s="242" t="s">
        <v>478</v>
      </c>
      <c r="D177" s="678"/>
      <c r="E177" s="682"/>
      <c r="F177" s="719"/>
      <c r="G177" s="658"/>
      <c r="H177" s="658"/>
    </row>
    <row r="178" spans="1:8" ht="78.75">
      <c r="A178" s="653"/>
      <c r="B178" s="653"/>
      <c r="C178" s="242" t="s">
        <v>479</v>
      </c>
      <c r="D178" s="678"/>
      <c r="E178" s="682"/>
      <c r="F178" s="719"/>
      <c r="G178" s="658"/>
      <c r="H178" s="658"/>
    </row>
    <row r="179" spans="1:8" ht="31.5">
      <c r="A179" s="653"/>
      <c r="B179" s="653"/>
      <c r="C179" s="242" t="s">
        <v>474</v>
      </c>
      <c r="D179" s="678"/>
      <c r="E179" s="682"/>
      <c r="F179" s="719"/>
      <c r="G179" s="658"/>
      <c r="H179" s="658"/>
    </row>
    <row r="180" spans="1:8">
      <c r="A180" s="653"/>
      <c r="B180" s="653"/>
      <c r="C180" s="949" t="s">
        <v>389</v>
      </c>
      <c r="D180" s="957" t="s">
        <v>390</v>
      </c>
      <c r="E180" s="700">
        <v>11</v>
      </c>
      <c r="F180" s="959">
        <v>10</v>
      </c>
      <c r="G180" s="702"/>
      <c r="H180" s="702"/>
    </row>
    <row r="181" spans="1:8" ht="47.25">
      <c r="A181" s="653" t="s">
        <v>317</v>
      </c>
      <c r="B181" s="653"/>
      <c r="C181" s="661" t="s">
        <v>480</v>
      </c>
      <c r="D181" s="678"/>
      <c r="E181" s="682"/>
      <c r="F181" s="719"/>
      <c r="G181" s="658"/>
      <c r="H181" s="658"/>
    </row>
    <row r="182" spans="1:8" ht="31.5">
      <c r="A182" s="653"/>
      <c r="B182" s="653"/>
      <c r="C182" s="242" t="s">
        <v>481</v>
      </c>
      <c r="D182" s="678"/>
      <c r="E182" s="682"/>
      <c r="F182" s="719"/>
      <c r="G182" s="658"/>
      <c r="H182" s="658"/>
    </row>
    <row r="183" spans="1:8" ht="31.5">
      <c r="A183" s="653"/>
      <c r="B183" s="653"/>
      <c r="C183" s="242" t="s">
        <v>482</v>
      </c>
      <c r="D183" s="678"/>
      <c r="E183" s="682"/>
      <c r="F183" s="719"/>
      <c r="G183" s="658"/>
      <c r="H183" s="658"/>
    </row>
    <row r="184" spans="1:8" ht="31.5">
      <c r="A184" s="653"/>
      <c r="B184" s="653"/>
      <c r="C184" s="242" t="s">
        <v>483</v>
      </c>
      <c r="D184" s="678"/>
      <c r="E184" s="682"/>
      <c r="F184" s="719"/>
      <c r="G184" s="658"/>
      <c r="H184" s="658"/>
    </row>
    <row r="185" spans="1:8" ht="47.25">
      <c r="A185" s="653"/>
      <c r="B185" s="653"/>
      <c r="C185" s="242" t="s">
        <v>484</v>
      </c>
      <c r="D185" s="678"/>
      <c r="E185" s="682"/>
      <c r="F185" s="719"/>
      <c r="G185" s="658"/>
      <c r="H185" s="658"/>
    </row>
    <row r="186" spans="1:8">
      <c r="A186" s="653"/>
      <c r="B186" s="653"/>
      <c r="C186" s="949" t="s">
        <v>410</v>
      </c>
      <c r="D186" s="957" t="s">
        <v>399</v>
      </c>
      <c r="E186" s="700">
        <f>[2]Računaljka!I61</f>
        <v>44.800000000000004</v>
      </c>
      <c r="F186" s="959">
        <v>4.25</v>
      </c>
      <c r="G186" s="702"/>
      <c r="H186" s="702"/>
    </row>
    <row r="187" spans="1:8" ht="31.5">
      <c r="A187" s="653"/>
      <c r="B187" s="653"/>
      <c r="C187" s="242" t="s">
        <v>315</v>
      </c>
      <c r="D187" s="678"/>
      <c r="E187" s="682"/>
      <c r="F187" s="719"/>
      <c r="G187" s="658"/>
      <c r="H187" s="658"/>
    </row>
    <row r="188" spans="1:8" ht="63">
      <c r="A188" s="653" t="s">
        <v>318</v>
      </c>
      <c r="B188" s="653"/>
      <c r="C188" s="661" t="s">
        <v>485</v>
      </c>
      <c r="D188" s="678"/>
      <c r="E188" s="682"/>
      <c r="F188" s="719"/>
      <c r="G188" s="658"/>
      <c r="H188" s="658"/>
    </row>
    <row r="189" spans="1:8" ht="110.25">
      <c r="A189" s="653"/>
      <c r="B189" s="653"/>
      <c r="C189" s="242" t="s">
        <v>1722</v>
      </c>
      <c r="D189" s="678"/>
      <c r="E189" s="682"/>
      <c r="F189" s="719"/>
      <c r="G189" s="658"/>
      <c r="H189" s="658"/>
    </row>
    <row r="190" spans="1:8" ht="31.5">
      <c r="A190" s="653"/>
      <c r="B190" s="653"/>
      <c r="C190" s="242" t="s">
        <v>483</v>
      </c>
      <c r="D190" s="678"/>
      <c r="E190" s="682"/>
      <c r="F190" s="719"/>
      <c r="G190" s="658"/>
      <c r="H190" s="658"/>
    </row>
    <row r="191" spans="1:8" ht="47.25">
      <c r="A191" s="653"/>
      <c r="B191" s="653"/>
      <c r="C191" s="242" t="s">
        <v>484</v>
      </c>
      <c r="D191" s="678"/>
      <c r="E191" s="682"/>
      <c r="F191" s="719"/>
      <c r="G191" s="658"/>
      <c r="H191" s="658"/>
    </row>
    <row r="192" spans="1:8">
      <c r="A192" s="653"/>
      <c r="B192" s="653"/>
      <c r="C192" s="949" t="s">
        <v>410</v>
      </c>
      <c r="D192" s="957" t="s">
        <v>399</v>
      </c>
      <c r="E192" s="700">
        <f>[2]Računaljka!I63</f>
        <v>51.2</v>
      </c>
      <c r="F192" s="959">
        <v>6.5</v>
      </c>
      <c r="G192" s="702"/>
      <c r="H192" s="702"/>
    </row>
    <row r="193" spans="1:8">
      <c r="A193" s="958"/>
      <c r="B193" s="958"/>
      <c r="C193" s="949" t="s">
        <v>316</v>
      </c>
      <c r="D193" s="957"/>
      <c r="E193" s="700"/>
      <c r="F193" s="959"/>
      <c r="G193" s="702"/>
      <c r="H193" s="702"/>
    </row>
    <row r="194" spans="1:8">
      <c r="A194" s="1107" t="s">
        <v>486</v>
      </c>
      <c r="B194" s="1107"/>
      <c r="C194" s="1107"/>
      <c r="D194" s="1107"/>
      <c r="E194" s="1107"/>
      <c r="F194" s="1107"/>
      <c r="G194" s="1107"/>
      <c r="H194" s="754"/>
    </row>
    <row r="195" spans="1:8">
      <c r="A195" s="653"/>
      <c r="B195" s="653"/>
      <c r="C195" s="675"/>
      <c r="D195" s="675"/>
      <c r="E195" s="675"/>
      <c r="F195" s="675"/>
      <c r="G195" s="675"/>
      <c r="H195" s="675"/>
    </row>
    <row r="196" spans="1:8">
      <c r="A196" s="652" t="s">
        <v>7</v>
      </c>
      <c r="B196" s="960"/>
      <c r="C196" s="961" t="s">
        <v>1383</v>
      </c>
      <c r="D196" s="675"/>
      <c r="E196" s="675"/>
      <c r="F196" s="719"/>
      <c r="G196" s="675"/>
      <c r="H196" s="675"/>
    </row>
    <row r="197" spans="1:8">
      <c r="A197" s="653" t="s">
        <v>98</v>
      </c>
      <c r="B197" s="653"/>
      <c r="C197" s="962" t="s">
        <v>487</v>
      </c>
      <c r="D197" s="675"/>
      <c r="E197" s="675"/>
      <c r="F197" s="719"/>
      <c r="G197" s="675"/>
      <c r="H197" s="675"/>
    </row>
    <row r="198" spans="1:8" ht="47.25">
      <c r="A198" s="653"/>
      <c r="B198" s="653"/>
      <c r="C198" s="696" t="s">
        <v>488</v>
      </c>
      <c r="D198" s="675"/>
      <c r="E198" s="675"/>
      <c r="F198" s="719"/>
      <c r="G198" s="675"/>
      <c r="H198" s="675"/>
    </row>
    <row r="199" spans="1:8" ht="47.25">
      <c r="A199" s="653"/>
      <c r="B199" s="653"/>
      <c r="C199" s="696" t="s">
        <v>1892</v>
      </c>
      <c r="D199" s="675"/>
      <c r="E199" s="675"/>
      <c r="F199" s="719"/>
      <c r="G199" s="675"/>
      <c r="H199" s="675"/>
    </row>
    <row r="200" spans="1:8">
      <c r="A200" s="653"/>
      <c r="B200" s="653"/>
      <c r="C200" s="963" t="s">
        <v>489</v>
      </c>
      <c r="D200" s="699" t="s">
        <v>390</v>
      </c>
      <c r="E200" s="700">
        <v>16</v>
      </c>
      <c r="F200" s="959">
        <v>450</v>
      </c>
      <c r="G200" s="702"/>
      <c r="H200" s="702"/>
    </row>
    <row r="201" spans="1:8" ht="31.5">
      <c r="A201" s="653" t="s">
        <v>113</v>
      </c>
      <c r="B201" s="653"/>
      <c r="C201" s="964" t="s">
        <v>490</v>
      </c>
      <c r="D201" s="682"/>
      <c r="E201" s="682"/>
      <c r="F201" s="719"/>
      <c r="G201" s="682"/>
      <c r="H201" s="682"/>
    </row>
    <row r="202" spans="1:8" ht="63">
      <c r="A202" s="653"/>
      <c r="B202" s="653"/>
      <c r="C202" s="696" t="s">
        <v>491</v>
      </c>
      <c r="D202" s="682"/>
      <c r="E202" s="682"/>
      <c r="F202" s="719"/>
      <c r="G202" s="682"/>
      <c r="H202" s="682"/>
    </row>
    <row r="203" spans="1:8" ht="47.25">
      <c r="A203" s="653"/>
      <c r="B203" s="653"/>
      <c r="C203" s="696" t="s">
        <v>492</v>
      </c>
      <c r="D203" s="58"/>
      <c r="E203" s="682"/>
      <c r="F203" s="719"/>
      <c r="G203" s="682"/>
      <c r="H203" s="682"/>
    </row>
    <row r="204" spans="1:8">
      <c r="A204" s="653"/>
      <c r="B204" s="653"/>
      <c r="C204" s="698" t="s">
        <v>389</v>
      </c>
      <c r="D204" s="699" t="s">
        <v>390</v>
      </c>
      <c r="E204" s="700">
        <v>9</v>
      </c>
      <c r="F204" s="959">
        <v>100</v>
      </c>
      <c r="G204" s="702"/>
      <c r="H204" s="702"/>
    </row>
    <row r="205" spans="1:8" ht="31.5">
      <c r="A205" s="653" t="s">
        <v>1774</v>
      </c>
      <c r="B205" s="653"/>
      <c r="C205" s="964" t="s">
        <v>493</v>
      </c>
      <c r="D205" s="58"/>
      <c r="E205" s="682"/>
      <c r="F205" s="719"/>
      <c r="G205" s="682"/>
      <c r="H205" s="682"/>
    </row>
    <row r="206" spans="1:8" ht="63">
      <c r="A206" s="653"/>
      <c r="B206" s="653"/>
      <c r="C206" s="696" t="s">
        <v>494</v>
      </c>
      <c r="D206" s="58"/>
      <c r="E206" s="682"/>
      <c r="F206" s="719"/>
      <c r="G206" s="682"/>
      <c r="H206" s="682"/>
    </row>
    <row r="207" spans="1:8" ht="47.25">
      <c r="A207" s="653"/>
      <c r="B207" s="653"/>
      <c r="C207" s="696" t="s">
        <v>492</v>
      </c>
      <c r="D207" s="58"/>
      <c r="E207" s="682"/>
      <c r="F207" s="719"/>
      <c r="G207" s="682"/>
      <c r="H207" s="682"/>
    </row>
    <row r="208" spans="1:8">
      <c r="A208" s="653"/>
      <c r="B208" s="653"/>
      <c r="C208" s="698" t="s">
        <v>389</v>
      </c>
      <c r="D208" s="699" t="s">
        <v>390</v>
      </c>
      <c r="E208" s="700">
        <v>2</v>
      </c>
      <c r="F208" s="959">
        <v>210</v>
      </c>
      <c r="G208" s="702"/>
      <c r="H208" s="702"/>
    </row>
    <row r="209" spans="1:8">
      <c r="A209" s="653" t="s">
        <v>1775</v>
      </c>
      <c r="B209" s="653"/>
      <c r="C209" s="964" t="s">
        <v>495</v>
      </c>
      <c r="D209" s="58"/>
      <c r="E209" s="675"/>
      <c r="F209" s="719"/>
      <c r="G209" s="675"/>
      <c r="H209" s="675"/>
    </row>
    <row r="210" spans="1:8" ht="47.25">
      <c r="A210" s="653"/>
      <c r="B210" s="653"/>
      <c r="C210" s="696" t="s">
        <v>496</v>
      </c>
      <c r="D210" s="58"/>
      <c r="E210" s="675"/>
      <c r="F210" s="719"/>
      <c r="G210" s="675"/>
      <c r="H210" s="675"/>
    </row>
    <row r="211" spans="1:8" ht="47.25">
      <c r="A211" s="653"/>
      <c r="B211" s="653"/>
      <c r="C211" s="696" t="s">
        <v>497</v>
      </c>
      <c r="D211" s="58"/>
      <c r="E211" s="675"/>
      <c r="F211" s="719"/>
      <c r="G211" s="675"/>
      <c r="H211" s="675"/>
    </row>
    <row r="212" spans="1:8" ht="47.25">
      <c r="A212" s="653"/>
      <c r="B212" s="653"/>
      <c r="C212" s="696" t="s">
        <v>492</v>
      </c>
      <c r="D212" s="58"/>
      <c r="E212" s="675"/>
      <c r="F212" s="719"/>
      <c r="G212" s="675"/>
      <c r="H212" s="675"/>
    </row>
    <row r="213" spans="1:8">
      <c r="A213" s="653"/>
      <c r="B213" s="653"/>
      <c r="C213" s="698" t="s">
        <v>389</v>
      </c>
      <c r="D213" s="699" t="s">
        <v>390</v>
      </c>
      <c r="E213" s="700">
        <v>4</v>
      </c>
      <c r="F213" s="959">
        <v>300</v>
      </c>
      <c r="G213" s="702"/>
      <c r="H213" s="702"/>
    </row>
    <row r="214" spans="1:8" ht="47.25">
      <c r="A214" s="653" t="s">
        <v>1776</v>
      </c>
      <c r="B214" s="653"/>
      <c r="C214" s="964" t="s">
        <v>498</v>
      </c>
      <c r="D214" s="58"/>
      <c r="E214" s="675"/>
      <c r="F214" s="719"/>
      <c r="G214" s="675"/>
      <c r="H214" s="675"/>
    </row>
    <row r="215" spans="1:8" ht="94.5">
      <c r="A215" s="653"/>
      <c r="B215" s="653"/>
      <c r="C215" s="696" t="s">
        <v>499</v>
      </c>
      <c r="D215" s="58"/>
      <c r="E215" s="675"/>
      <c r="F215" s="719"/>
      <c r="G215" s="675"/>
      <c r="H215" s="675"/>
    </row>
    <row r="216" spans="1:8" ht="63">
      <c r="A216" s="653"/>
      <c r="B216" s="653"/>
      <c r="C216" s="696" t="s">
        <v>500</v>
      </c>
      <c r="D216" s="58"/>
      <c r="E216" s="675"/>
      <c r="F216" s="719"/>
      <c r="G216" s="675"/>
      <c r="H216" s="675"/>
    </row>
    <row r="217" spans="1:8">
      <c r="A217" s="958"/>
      <c r="B217" s="958"/>
      <c r="C217" s="698" t="s">
        <v>389</v>
      </c>
      <c r="D217" s="699" t="s">
        <v>390</v>
      </c>
      <c r="E217" s="700">
        <v>1</v>
      </c>
      <c r="F217" s="959">
        <v>350</v>
      </c>
      <c r="G217" s="702"/>
      <c r="H217" s="702"/>
    </row>
    <row r="218" spans="1:8">
      <c r="A218" s="1108" t="s">
        <v>1384</v>
      </c>
      <c r="B218" s="1108"/>
      <c r="C218" s="1108"/>
      <c r="D218" s="1108"/>
      <c r="E218" s="1108"/>
      <c r="F218" s="1108"/>
      <c r="G218" s="1108"/>
      <c r="H218" s="754"/>
    </row>
    <row r="219" spans="1:8">
      <c r="A219" s="653"/>
      <c r="B219" s="653"/>
      <c r="C219" s="697"/>
      <c r="D219" s="58"/>
      <c r="E219" s="675"/>
      <c r="F219" s="719"/>
      <c r="G219" s="675"/>
      <c r="H219" s="675"/>
    </row>
    <row r="220" spans="1:8">
      <c r="A220" s="653"/>
      <c r="B220" s="653"/>
      <c r="C220" s="697"/>
      <c r="D220" s="58"/>
      <c r="E220" s="675"/>
      <c r="F220" s="719"/>
      <c r="G220" s="675"/>
      <c r="H220" s="675"/>
    </row>
    <row r="221" spans="1:8" ht="46.5" customHeight="1">
      <c r="A221" s="645"/>
      <c r="B221" s="645"/>
      <c r="C221" s="729"/>
      <c r="D221" s="678"/>
      <c r="E221" s="730"/>
      <c r="F221" s="731"/>
      <c r="G221" s="732"/>
      <c r="H221" s="732"/>
    </row>
    <row r="222" spans="1:8">
      <c r="A222" s="645"/>
      <c r="B222" s="645"/>
      <c r="C222" s="729"/>
      <c r="D222" s="678"/>
      <c r="E222" s="730"/>
      <c r="F222" s="731"/>
      <c r="G222" s="732"/>
      <c r="H222" s="732"/>
    </row>
    <row r="223" spans="1:8">
      <c r="A223" s="1023" t="s">
        <v>501</v>
      </c>
      <c r="B223" s="1023"/>
      <c r="C223" s="1023"/>
      <c r="D223" s="1023"/>
      <c r="E223" s="1023"/>
      <c r="F223" s="1023"/>
      <c r="G223" s="1023"/>
      <c r="H223" s="1023"/>
    </row>
    <row r="224" spans="1:8">
      <c r="A224" s="645"/>
      <c r="B224" s="645"/>
      <c r="C224" s="729"/>
      <c r="D224" s="678"/>
      <c r="E224" s="730"/>
      <c r="F224" s="731"/>
      <c r="G224" s="732"/>
      <c r="H224" s="732"/>
    </row>
    <row r="225" spans="1:8">
      <c r="A225" s="645" t="s">
        <v>0</v>
      </c>
      <c r="B225" s="733" t="s">
        <v>24</v>
      </c>
      <c r="C225" s="733" t="s">
        <v>1376</v>
      </c>
      <c r="D225" s="734"/>
      <c r="E225" s="734"/>
      <c r="F225" s="701"/>
      <c r="G225" s="702"/>
      <c r="H225" s="702"/>
    </row>
    <row r="226" spans="1:8">
      <c r="A226" s="645" t="s">
        <v>1</v>
      </c>
      <c r="B226" s="733"/>
      <c r="C226" s="714" t="s">
        <v>1386</v>
      </c>
      <c r="D226" s="735"/>
      <c r="E226" s="735"/>
      <c r="F226" s="736"/>
      <c r="G226" s="737"/>
      <c r="H226" s="737"/>
    </row>
    <row r="227" spans="1:8">
      <c r="A227" s="645" t="s">
        <v>2</v>
      </c>
      <c r="B227" s="733"/>
      <c r="C227" s="733" t="s">
        <v>502</v>
      </c>
      <c r="D227" s="735"/>
      <c r="E227" s="735"/>
      <c r="F227" s="736"/>
      <c r="G227" s="737"/>
      <c r="H227" s="737"/>
    </row>
    <row r="228" spans="1:8">
      <c r="A228" s="645" t="s">
        <v>3</v>
      </c>
      <c r="B228" s="733"/>
      <c r="C228" s="733" t="s">
        <v>452</v>
      </c>
      <c r="D228" s="735"/>
      <c r="E228" s="735"/>
      <c r="F228" s="736"/>
      <c r="G228" s="737"/>
      <c r="H228" s="737"/>
    </row>
    <row r="229" spans="1:8">
      <c r="A229" s="645" t="s">
        <v>4</v>
      </c>
      <c r="B229" s="733" t="s">
        <v>14</v>
      </c>
      <c r="C229" s="733" t="s">
        <v>461</v>
      </c>
      <c r="D229" s="735"/>
      <c r="E229" s="735"/>
      <c r="F229" s="736"/>
      <c r="G229" s="737"/>
      <c r="H229" s="737"/>
    </row>
    <row r="230" spans="1:8">
      <c r="A230" s="645" t="s">
        <v>5</v>
      </c>
      <c r="B230" s="733" t="s">
        <v>19</v>
      </c>
      <c r="C230" s="733" t="s">
        <v>470</v>
      </c>
      <c r="D230" s="735"/>
      <c r="E230" s="735"/>
      <c r="F230" s="736"/>
      <c r="G230" s="737"/>
      <c r="H230" s="737"/>
    </row>
    <row r="231" spans="1:8" ht="16.5" thickBot="1">
      <c r="A231" s="958" t="s">
        <v>6</v>
      </c>
      <c r="B231" s="734" t="s">
        <v>21</v>
      </c>
      <c r="C231" s="734" t="s">
        <v>1383</v>
      </c>
      <c r="D231" s="734"/>
      <c r="E231" s="734"/>
      <c r="F231" s="701"/>
      <c r="G231" s="658"/>
      <c r="H231" s="658"/>
    </row>
    <row r="232" spans="1:8" ht="16.5" thickBot="1">
      <c r="A232" s="645"/>
      <c r="B232" s="645"/>
      <c r="C232" s="743"/>
      <c r="D232" s="678"/>
      <c r="E232" s="730"/>
      <c r="F232" s="731"/>
      <c r="G232" s="965" t="s">
        <v>503</v>
      </c>
      <c r="H232" s="981"/>
    </row>
    <row r="233" spans="1:8">
      <c r="A233" s="966"/>
      <c r="B233" s="966"/>
      <c r="C233" s="967"/>
      <c r="D233" s="968"/>
      <c r="E233" s="969"/>
      <c r="F233" s="970"/>
      <c r="G233" s="971"/>
      <c r="H233" s="971"/>
    </row>
    <row r="234" spans="1:8">
      <c r="A234" s="966"/>
      <c r="B234" s="966"/>
      <c r="C234" s="967"/>
      <c r="D234" s="968"/>
      <c r="E234" s="969"/>
      <c r="F234" s="970"/>
      <c r="G234" s="971"/>
      <c r="H234" s="971"/>
    </row>
    <row r="237" spans="1:8">
      <c r="A237" s="745"/>
      <c r="H237" s="751"/>
    </row>
    <row r="238" spans="1:8">
      <c r="A238" s="745"/>
      <c r="H238" s="751"/>
    </row>
    <row r="239" spans="1:8">
      <c r="A239" s="745"/>
      <c r="H239" s="751"/>
    </row>
    <row r="240" spans="1:8">
      <c r="A240" s="745"/>
      <c r="H240" s="751"/>
    </row>
    <row r="241" spans="1:8">
      <c r="A241" s="745"/>
      <c r="H241" s="751"/>
    </row>
    <row r="242" spans="1:8">
      <c r="A242" s="745"/>
      <c r="H242" s="751"/>
    </row>
    <row r="243" spans="1:8">
      <c r="A243" s="745"/>
      <c r="H243" s="745"/>
    </row>
  </sheetData>
  <mergeCells count="11">
    <mergeCell ref="A2:H2"/>
    <mergeCell ref="A194:G194"/>
    <mergeCell ref="A218:G218"/>
    <mergeCell ref="A223:H223"/>
    <mergeCell ref="A48:G48"/>
    <mergeCell ref="A86:G86"/>
    <mergeCell ref="C88:E88"/>
    <mergeCell ref="A137:G137"/>
    <mergeCell ref="A157:G157"/>
    <mergeCell ref="A166:G166"/>
    <mergeCell ref="A144:G144"/>
  </mergeCells>
  <pageMargins left="0.7" right="0.7" top="0.75" bottom="0.75" header="0.3" footer="0.3"/>
  <pageSetup paperSize="9"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100" zoomScaleSheetLayoutView="100" workbookViewId="0">
      <selection activeCell="N10" sqref="N10"/>
    </sheetView>
  </sheetViews>
  <sheetFormatPr defaultRowHeight="15.75"/>
  <cols>
    <col min="1" max="1" width="4.625" customWidth="1"/>
    <col min="2" max="2" width="8.125" style="52" customWidth="1"/>
    <col min="6" max="6" width="12.375" customWidth="1"/>
    <col min="8" max="8" width="21.75" customWidth="1"/>
  </cols>
  <sheetData>
    <row r="1" spans="1:8">
      <c r="A1" s="55"/>
      <c r="B1" s="104"/>
      <c r="C1" s="55"/>
      <c r="D1" s="55"/>
      <c r="E1" s="55"/>
      <c r="F1" s="55"/>
      <c r="G1" s="55"/>
      <c r="H1" s="55"/>
    </row>
    <row r="2" spans="1:8">
      <c r="A2" s="1114" t="s">
        <v>504</v>
      </c>
      <c r="B2" s="1114"/>
      <c r="C2" s="1114"/>
      <c r="D2" s="1114"/>
      <c r="E2" s="1114"/>
      <c r="F2" s="1114"/>
      <c r="G2" s="1114"/>
      <c r="H2" s="1114"/>
    </row>
    <row r="3" spans="1:8" ht="31.5">
      <c r="A3" s="59" t="s">
        <v>505</v>
      </c>
      <c r="B3" s="105" t="s">
        <v>506</v>
      </c>
      <c r="C3" s="1118" t="s">
        <v>507</v>
      </c>
      <c r="D3" s="1118"/>
      <c r="E3" s="1118"/>
      <c r="F3" s="1118"/>
      <c r="G3" s="55"/>
      <c r="H3" s="55"/>
    </row>
    <row r="4" spans="1:8">
      <c r="A4" s="59"/>
      <c r="B4" s="105"/>
      <c r="C4" s="59"/>
      <c r="D4" s="59"/>
      <c r="E4" s="59"/>
      <c r="F4" s="59"/>
      <c r="G4" s="55"/>
      <c r="H4" s="55"/>
    </row>
    <row r="5" spans="1:8">
      <c r="A5" s="59">
        <v>0</v>
      </c>
      <c r="B5" s="105"/>
      <c r="C5" s="1119" t="s">
        <v>1366</v>
      </c>
      <c r="D5" s="1119"/>
      <c r="E5" s="1119"/>
      <c r="F5" s="1119"/>
      <c r="G5" s="106"/>
      <c r="H5" s="107"/>
    </row>
    <row r="6" spans="1:8">
      <c r="A6" s="59">
        <v>1</v>
      </c>
      <c r="B6" s="108" t="s">
        <v>344</v>
      </c>
      <c r="C6" s="1115" t="s">
        <v>508</v>
      </c>
      <c r="D6" s="1115"/>
      <c r="E6" s="1115"/>
      <c r="F6" s="1115"/>
      <c r="G6" s="106"/>
      <c r="H6" s="109"/>
    </row>
    <row r="7" spans="1:8">
      <c r="A7" s="59">
        <v>2</v>
      </c>
      <c r="B7" s="108" t="s">
        <v>345</v>
      </c>
      <c r="C7" s="1116" t="s">
        <v>1367</v>
      </c>
      <c r="D7" s="1116"/>
      <c r="E7" s="1116"/>
      <c r="F7" s="1116"/>
      <c r="G7" s="106"/>
      <c r="H7" s="109"/>
    </row>
    <row r="8" spans="1:8">
      <c r="A8" s="59">
        <v>3</v>
      </c>
      <c r="B8" s="108" t="s">
        <v>345</v>
      </c>
      <c r="C8" s="1115" t="s">
        <v>1368</v>
      </c>
      <c r="D8" s="1115"/>
      <c r="E8" s="1115"/>
      <c r="F8" s="1115"/>
      <c r="G8" s="106"/>
      <c r="H8" s="109"/>
    </row>
    <row r="9" spans="1:8">
      <c r="A9" s="59">
        <v>4</v>
      </c>
      <c r="B9" s="108" t="s">
        <v>346</v>
      </c>
      <c r="C9" s="1115" t="s">
        <v>509</v>
      </c>
      <c r="D9" s="1115"/>
      <c r="E9" s="1115"/>
      <c r="F9" s="1115"/>
      <c r="G9" s="106"/>
      <c r="H9" s="109"/>
    </row>
    <row r="10" spans="1:8">
      <c r="A10" s="59">
        <v>5</v>
      </c>
      <c r="B10" s="108" t="s">
        <v>347</v>
      </c>
      <c r="C10" s="1117" t="s">
        <v>510</v>
      </c>
      <c r="D10" s="1117"/>
      <c r="E10" s="1117"/>
      <c r="F10" s="1117"/>
      <c r="G10" s="106"/>
      <c r="H10" s="109"/>
    </row>
    <row r="11" spans="1:8">
      <c r="A11" s="59">
        <v>6</v>
      </c>
      <c r="B11" s="108" t="s">
        <v>348</v>
      </c>
      <c r="C11" s="1115" t="s">
        <v>511</v>
      </c>
      <c r="D11" s="1115"/>
      <c r="E11" s="1115"/>
      <c r="F11" s="1115"/>
      <c r="G11" s="106"/>
      <c r="H11" s="109"/>
    </row>
    <row r="12" spans="1:8">
      <c r="A12" s="59">
        <v>7</v>
      </c>
      <c r="B12" s="108" t="s">
        <v>379</v>
      </c>
      <c r="C12" s="1115" t="s">
        <v>512</v>
      </c>
      <c r="D12" s="1115"/>
      <c r="E12" s="1115"/>
      <c r="F12" s="1115"/>
      <c r="G12" s="106"/>
      <c r="H12" s="109"/>
    </row>
    <row r="13" spans="1:8">
      <c r="A13" s="59">
        <v>8</v>
      </c>
      <c r="B13" s="108" t="s">
        <v>350</v>
      </c>
      <c r="C13" s="110" t="s">
        <v>513</v>
      </c>
      <c r="D13" s="110"/>
      <c r="E13" s="110"/>
      <c r="F13" s="110"/>
      <c r="G13" s="106"/>
      <c r="H13" s="109"/>
    </row>
    <row r="14" spans="1:8">
      <c r="A14" s="59">
        <v>9</v>
      </c>
      <c r="B14" s="108" t="s">
        <v>349</v>
      </c>
      <c r="C14" s="1115" t="s">
        <v>514</v>
      </c>
      <c r="D14" s="1115"/>
      <c r="E14" s="1115"/>
      <c r="F14" s="1115"/>
      <c r="G14" s="111"/>
      <c r="H14" s="112"/>
    </row>
    <row r="15" spans="1:8" ht="16.5" thickBot="1">
      <c r="A15" s="59">
        <v>10</v>
      </c>
      <c r="B15" s="108" t="s">
        <v>343</v>
      </c>
      <c r="C15" s="1113" t="s">
        <v>1369</v>
      </c>
      <c r="D15" s="1113"/>
      <c r="E15" s="1113"/>
      <c r="F15" s="1113"/>
      <c r="G15" s="113"/>
      <c r="H15" s="114"/>
    </row>
    <row r="16" spans="1:8" ht="16.5" thickTop="1">
      <c r="A16" s="59"/>
      <c r="B16" s="108"/>
      <c r="C16" s="55"/>
      <c r="D16" s="55"/>
      <c r="E16" s="55"/>
      <c r="F16" s="55"/>
      <c r="G16" s="115"/>
      <c r="H16" s="116"/>
    </row>
    <row r="17" spans="1:8" ht="16.5" thickBot="1">
      <c r="A17" s="59"/>
      <c r="B17" s="108"/>
      <c r="C17" s="55"/>
      <c r="D17" s="1111" t="s">
        <v>515</v>
      </c>
      <c r="E17" s="1111"/>
      <c r="F17" s="1111"/>
      <c r="G17" s="1111"/>
      <c r="H17" s="469"/>
    </row>
    <row r="18" spans="1:8" ht="16.5" thickTop="1">
      <c r="A18" s="59"/>
      <c r="B18" s="108"/>
      <c r="C18" s="55"/>
      <c r="D18" s="1112" t="s">
        <v>503</v>
      </c>
      <c r="E18" s="1112"/>
      <c r="F18" s="1112"/>
      <c r="G18" s="1112"/>
      <c r="H18" s="116"/>
    </row>
    <row r="19" spans="1:8">
      <c r="A19" s="59"/>
      <c r="B19" s="108"/>
      <c r="C19" s="55"/>
      <c r="D19" s="55"/>
      <c r="E19" s="55"/>
      <c r="F19" s="55"/>
      <c r="G19" s="55"/>
      <c r="H19" s="117"/>
    </row>
    <row r="20" spans="1:8">
      <c r="A20" s="59"/>
      <c r="B20" s="108"/>
      <c r="C20" s="55"/>
      <c r="D20" s="55"/>
      <c r="E20" s="55"/>
      <c r="F20" s="55"/>
      <c r="G20" s="55"/>
      <c r="H20" s="117"/>
    </row>
    <row r="21" spans="1:8">
      <c r="A21" s="59"/>
      <c r="B21" s="108"/>
      <c r="C21" s="55"/>
      <c r="D21" s="55"/>
      <c r="E21" s="55"/>
      <c r="F21" s="55"/>
      <c r="G21" s="55"/>
      <c r="H21" s="117"/>
    </row>
    <row r="22" spans="1:8">
      <c r="A22" s="1"/>
      <c r="B22" s="51"/>
      <c r="H22" s="19"/>
    </row>
    <row r="23" spans="1:8">
      <c r="A23" s="1"/>
      <c r="B23" s="51"/>
    </row>
    <row r="24" spans="1:8">
      <c r="A24" s="1"/>
      <c r="B24" s="51"/>
    </row>
    <row r="25" spans="1:8">
      <c r="A25" s="1"/>
      <c r="B25" s="51"/>
    </row>
    <row r="26" spans="1:8">
      <c r="A26" s="1"/>
      <c r="B26" s="51"/>
    </row>
    <row r="27" spans="1:8">
      <c r="A27" s="1"/>
      <c r="B27" s="51"/>
    </row>
    <row r="28" spans="1:8">
      <c r="A28" s="1"/>
      <c r="B28" s="51"/>
    </row>
    <row r="29" spans="1:8">
      <c r="A29" s="1"/>
      <c r="B29" s="51"/>
    </row>
    <row r="30" spans="1:8">
      <c r="A30" s="1"/>
      <c r="B30" s="51"/>
    </row>
    <row r="31" spans="1:8">
      <c r="A31" s="1"/>
      <c r="B31" s="51"/>
    </row>
    <row r="32" spans="1:8">
      <c r="A32" s="1"/>
      <c r="B32" s="51"/>
    </row>
  </sheetData>
  <mergeCells count="14">
    <mergeCell ref="D17:G17"/>
    <mergeCell ref="D18:G18"/>
    <mergeCell ref="C15:F15"/>
    <mergeCell ref="A2:H2"/>
    <mergeCell ref="C6:F6"/>
    <mergeCell ref="C7:F7"/>
    <mergeCell ref="C8:F8"/>
    <mergeCell ref="C14:F14"/>
    <mergeCell ref="C10:F10"/>
    <mergeCell ref="C11:F11"/>
    <mergeCell ref="C9:F9"/>
    <mergeCell ref="C3:F3"/>
    <mergeCell ref="C12:F12"/>
    <mergeCell ref="C5:F5"/>
  </mergeCells>
  <pageMargins left="0.7" right="0.7" top="0.75" bottom="0.75" header="0.3" footer="0.3"/>
  <pageSetup paperSize="9" scale="97"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H911"/>
  <sheetViews>
    <sheetView view="pageBreakPreview" topLeftCell="A899" zoomScale="90" zoomScaleNormal="90" zoomScaleSheetLayoutView="90" workbookViewId="0">
      <selection activeCell="C685" sqref="C685"/>
    </sheetView>
  </sheetViews>
  <sheetFormatPr defaultColWidth="8.75" defaultRowHeight="15.75"/>
  <cols>
    <col min="1" max="1" width="8.875" style="746" customWidth="1"/>
    <col min="2" max="2" width="7.75" style="746" hidden="1" customWidth="1"/>
    <col min="3" max="3" width="37.375" style="695" customWidth="1"/>
    <col min="4" max="4" width="5.625" style="747" bestFit="1" customWidth="1"/>
    <col min="5" max="5" width="11.75" style="748" customWidth="1"/>
    <col min="6" max="6" width="5.75" style="749" hidden="1" customWidth="1"/>
    <col min="7" max="7" width="12.125" style="750" customWidth="1"/>
    <col min="8" max="8" width="14.25" style="750" customWidth="1"/>
    <col min="9" max="16384" width="8.75" style="644"/>
  </cols>
  <sheetData>
    <row r="1" spans="1:8">
      <c r="A1" s="1023" t="s">
        <v>557</v>
      </c>
      <c r="B1" s="1023"/>
      <c r="C1" s="1023"/>
      <c r="D1" s="1023"/>
      <c r="E1" s="1023"/>
      <c r="F1" s="1023"/>
      <c r="G1" s="1023"/>
      <c r="H1" s="1023"/>
    </row>
    <row r="2" spans="1:8">
      <c r="A2" s="1022" t="s">
        <v>1907</v>
      </c>
      <c r="B2" s="1022"/>
      <c r="C2" s="1022"/>
      <c r="D2" s="1022"/>
      <c r="E2" s="1022"/>
      <c r="F2" s="1022"/>
      <c r="G2" s="1022"/>
      <c r="H2" s="1022"/>
    </row>
    <row r="3" spans="1:8">
      <c r="A3" s="1022" t="s">
        <v>1388</v>
      </c>
      <c r="B3" s="1022"/>
      <c r="C3" s="1022"/>
      <c r="D3" s="1022"/>
      <c r="E3" s="1022"/>
      <c r="F3" s="1022"/>
      <c r="G3" s="1022"/>
      <c r="H3" s="1022"/>
    </row>
    <row r="4" spans="1:8" s="53" customFormat="1" ht="368.25" customHeight="1">
      <c r="A4" s="1024" t="s">
        <v>1906</v>
      </c>
      <c r="B4" s="1024"/>
      <c r="C4" s="1024"/>
      <c r="D4" s="1024"/>
      <c r="E4" s="1024"/>
      <c r="F4" s="1024"/>
      <c r="G4" s="1024"/>
      <c r="H4" s="1024"/>
    </row>
    <row r="5" spans="1:8" ht="16.5" thickBot="1">
      <c r="A5" s="645"/>
      <c r="B5" s="645"/>
      <c r="C5" s="645"/>
      <c r="D5" s="645"/>
      <c r="E5" s="645"/>
      <c r="F5" s="645"/>
      <c r="G5" s="645"/>
      <c r="H5" s="645"/>
    </row>
    <row r="6" spans="1:8" ht="32.25" thickBot="1">
      <c r="A6" s="646" t="s">
        <v>380</v>
      </c>
      <c r="B6" s="647" t="s">
        <v>381</v>
      </c>
      <c r="C6" s="648" t="s">
        <v>382</v>
      </c>
      <c r="D6" s="647" t="s">
        <v>383</v>
      </c>
      <c r="E6" s="649" t="s">
        <v>384</v>
      </c>
      <c r="F6" s="650">
        <v>121</v>
      </c>
      <c r="G6" s="649" t="s">
        <v>385</v>
      </c>
      <c r="H6" s="651" t="s">
        <v>386</v>
      </c>
    </row>
    <row r="7" spans="1:8">
      <c r="A7" s="652" t="s">
        <v>0</v>
      </c>
      <c r="B7" s="653"/>
      <c r="C7" s="654" t="s">
        <v>387</v>
      </c>
      <c r="D7" s="655"/>
      <c r="E7" s="656"/>
      <c r="F7" s="657"/>
      <c r="G7" s="658"/>
      <c r="H7" s="658"/>
    </row>
    <row r="8" spans="1:8" ht="47.25" customHeight="1">
      <c r="A8" s="659" t="s">
        <v>25</v>
      </c>
      <c r="B8" s="660"/>
      <c r="C8" s="661" t="s">
        <v>1778</v>
      </c>
      <c r="D8" s="660"/>
      <c r="E8" s="662"/>
      <c r="F8" s="663"/>
      <c r="G8" s="664"/>
      <c r="H8" s="664"/>
    </row>
    <row r="9" spans="1:8" ht="47.25">
      <c r="A9" s="659"/>
      <c r="B9" s="660"/>
      <c r="C9" s="666" t="s">
        <v>1779</v>
      </c>
      <c r="D9" s="660"/>
      <c r="E9" s="662"/>
      <c r="F9" s="663"/>
      <c r="G9" s="664"/>
      <c r="H9" s="664"/>
    </row>
    <row r="10" spans="1:8" ht="63">
      <c r="A10" s="659"/>
      <c r="B10" s="660"/>
      <c r="C10" s="666" t="s">
        <v>1913</v>
      </c>
      <c r="D10" s="660"/>
      <c r="E10" s="662"/>
      <c r="F10" s="663"/>
      <c r="G10" s="664"/>
      <c r="H10" s="664"/>
    </row>
    <row r="11" spans="1:8" ht="47.25">
      <c r="A11" s="659"/>
      <c r="B11" s="660"/>
      <c r="C11" s="666" t="s">
        <v>1780</v>
      </c>
      <c r="D11" s="660"/>
      <c r="E11" s="662"/>
      <c r="F11" s="663"/>
      <c r="G11" s="664"/>
      <c r="H11" s="664"/>
    </row>
    <row r="12" spans="1:8">
      <c r="A12" s="659"/>
      <c r="B12" s="660"/>
      <c r="C12" s="666" t="s">
        <v>1011</v>
      </c>
      <c r="D12" s="660"/>
      <c r="E12" s="662" t="s">
        <v>699</v>
      </c>
      <c r="F12" s="663">
        <v>400</v>
      </c>
      <c r="G12" s="656"/>
      <c r="H12" s="656"/>
    </row>
    <row r="13" spans="1:8" ht="94.5">
      <c r="A13" s="659" t="s">
        <v>26</v>
      </c>
      <c r="B13" s="660"/>
      <c r="C13" s="667" t="s">
        <v>1012</v>
      </c>
      <c r="D13" s="660"/>
      <c r="E13" s="662"/>
      <c r="F13" s="663"/>
      <c r="G13" s="656"/>
      <c r="H13" s="656"/>
    </row>
    <row r="14" spans="1:8" ht="82.5" customHeight="1">
      <c r="A14" s="659"/>
      <c r="B14" s="660"/>
      <c r="C14" s="666" t="s">
        <v>1013</v>
      </c>
      <c r="D14" s="660"/>
      <c r="E14" s="662"/>
      <c r="F14" s="663"/>
      <c r="G14" s="656"/>
      <c r="H14" s="656"/>
    </row>
    <row r="15" spans="1:8" ht="33.75" customHeight="1">
      <c r="A15" s="659"/>
      <c r="B15" s="660"/>
      <c r="C15" s="666" t="s">
        <v>1014</v>
      </c>
      <c r="D15" s="660"/>
      <c r="E15" s="662"/>
      <c r="F15" s="663"/>
      <c r="G15" s="656"/>
      <c r="H15" s="656"/>
    </row>
    <row r="16" spans="1:8" ht="31.5">
      <c r="A16" s="659"/>
      <c r="B16" s="660"/>
      <c r="C16" s="666" t="s">
        <v>1015</v>
      </c>
      <c r="D16" s="660"/>
      <c r="E16" s="662"/>
      <c r="F16" s="663"/>
      <c r="G16" s="656"/>
      <c r="H16" s="656"/>
    </row>
    <row r="17" spans="1:8">
      <c r="A17" s="659"/>
      <c r="B17" s="660"/>
      <c r="C17" s="666" t="s">
        <v>1011</v>
      </c>
      <c r="D17" s="660"/>
      <c r="E17" s="662" t="s">
        <v>699</v>
      </c>
      <c r="F17" s="663">
        <v>600</v>
      </c>
      <c r="G17" s="656"/>
      <c r="H17" s="656"/>
    </row>
    <row r="18" spans="1:8">
      <c r="A18" s="659" t="s">
        <v>27</v>
      </c>
      <c r="B18" s="660"/>
      <c r="C18" s="667" t="s">
        <v>1016</v>
      </c>
      <c r="D18" s="660"/>
      <c r="E18" s="662"/>
      <c r="F18" s="663"/>
      <c r="G18" s="656"/>
      <c r="H18" s="656"/>
    </row>
    <row r="19" spans="1:8" ht="94.5">
      <c r="A19" s="660"/>
      <c r="B19" s="660"/>
      <c r="C19" s="666" t="s">
        <v>1017</v>
      </c>
      <c r="D19" s="660"/>
      <c r="E19" s="662"/>
      <c r="F19" s="663"/>
      <c r="G19" s="656"/>
      <c r="H19" s="656"/>
    </row>
    <row r="20" spans="1:8" ht="47.25">
      <c r="A20" s="660"/>
      <c r="B20" s="660"/>
      <c r="C20" s="666" t="s">
        <v>1018</v>
      </c>
      <c r="D20" s="660"/>
      <c r="E20" s="662"/>
      <c r="F20" s="663"/>
      <c r="G20" s="656"/>
      <c r="H20" s="656"/>
    </row>
    <row r="21" spans="1:8" ht="63">
      <c r="A21" s="660"/>
      <c r="B21" s="660"/>
      <c r="C21" s="666" t="s">
        <v>1019</v>
      </c>
      <c r="D21" s="660"/>
      <c r="E21" s="662"/>
      <c r="F21" s="663"/>
      <c r="G21" s="656"/>
      <c r="H21" s="656"/>
    </row>
    <row r="22" spans="1:8" ht="31.5">
      <c r="A22" s="660"/>
      <c r="B22" s="660"/>
      <c r="C22" s="666" t="s">
        <v>1020</v>
      </c>
      <c r="D22" s="660"/>
      <c r="E22" s="662"/>
      <c r="F22" s="663"/>
      <c r="G22" s="656"/>
      <c r="H22" s="656"/>
    </row>
    <row r="23" spans="1:8">
      <c r="A23" s="660"/>
      <c r="B23" s="660"/>
      <c r="C23" s="666" t="s">
        <v>1011</v>
      </c>
      <c r="D23" s="660"/>
      <c r="E23" s="662" t="s">
        <v>699</v>
      </c>
      <c r="F23" s="663">
        <v>1500</v>
      </c>
      <c r="G23" s="656"/>
      <c r="H23" s="656"/>
    </row>
    <row r="24" spans="1:8" ht="31.5">
      <c r="A24" s="659" t="s">
        <v>28</v>
      </c>
      <c r="B24" s="660"/>
      <c r="C24" s="667" t="s">
        <v>1021</v>
      </c>
      <c r="D24" s="660"/>
      <c r="E24" s="662"/>
      <c r="F24" s="663"/>
      <c r="G24" s="656"/>
      <c r="H24" s="656"/>
    </row>
    <row r="25" spans="1:8" ht="126">
      <c r="A25" s="660"/>
      <c r="B25" s="660"/>
      <c r="C25" s="666" t="s">
        <v>1022</v>
      </c>
      <c r="D25" s="660"/>
      <c r="E25" s="662"/>
      <c r="F25" s="663"/>
      <c r="G25" s="656"/>
      <c r="H25" s="656"/>
    </row>
    <row r="26" spans="1:8">
      <c r="A26" s="660"/>
      <c r="B26" s="660"/>
      <c r="C26" s="666" t="s">
        <v>1023</v>
      </c>
      <c r="D26" s="660" t="s">
        <v>399</v>
      </c>
      <c r="E26" s="668">
        <f>'Specifikacija-Racun'!I3</f>
        <v>57.5</v>
      </c>
      <c r="F26" s="663">
        <v>6.2</v>
      </c>
      <c r="G26" s="656"/>
      <c r="H26" s="656"/>
    </row>
    <row r="27" spans="1:8">
      <c r="A27" s="660"/>
      <c r="B27" s="660"/>
      <c r="C27" s="666" t="s">
        <v>101</v>
      </c>
      <c r="D27" s="660"/>
      <c r="E27" s="662"/>
      <c r="F27" s="663"/>
      <c r="G27" s="664"/>
      <c r="H27" s="664"/>
    </row>
    <row r="28" spans="1:8" ht="63">
      <c r="A28" s="659" t="s">
        <v>29</v>
      </c>
      <c r="B28" s="660"/>
      <c r="C28" s="667" t="s">
        <v>1024</v>
      </c>
      <c r="D28" s="666"/>
      <c r="E28" s="666"/>
      <c r="F28" s="663"/>
      <c r="G28" s="664"/>
      <c r="H28" s="664"/>
    </row>
    <row r="29" spans="1:8" ht="94.5">
      <c r="A29" s="659"/>
      <c r="B29" s="660"/>
      <c r="C29" s="666" t="s">
        <v>1025</v>
      </c>
      <c r="D29" s="666"/>
      <c r="E29" s="666"/>
      <c r="F29" s="663"/>
      <c r="G29" s="664"/>
      <c r="H29" s="664"/>
    </row>
    <row r="30" spans="1:8" ht="78.75">
      <c r="A30" s="659"/>
      <c r="B30" s="660"/>
      <c r="C30" s="666" t="s">
        <v>1026</v>
      </c>
      <c r="D30" s="666"/>
      <c r="E30" s="666"/>
      <c r="F30" s="663"/>
      <c r="G30" s="664"/>
      <c r="H30" s="664"/>
    </row>
    <row r="31" spans="1:8" ht="15.75" customHeight="1">
      <c r="A31" s="660"/>
      <c r="B31" s="660"/>
      <c r="C31" s="666" t="s">
        <v>1027</v>
      </c>
      <c r="D31" s="669" t="s">
        <v>399</v>
      </c>
      <c r="E31" s="666">
        <f>'Specifikacija-Racun'!I5</f>
        <v>950.05</v>
      </c>
      <c r="F31" s="663">
        <v>5</v>
      </c>
      <c r="G31" s="656"/>
      <c r="H31" s="656"/>
    </row>
    <row r="32" spans="1:8" ht="32.25" thickBot="1">
      <c r="A32" s="660"/>
      <c r="B32" s="660"/>
      <c r="C32" s="670" t="s">
        <v>128</v>
      </c>
      <c r="D32" s="671"/>
      <c r="E32" s="670"/>
      <c r="F32" s="672"/>
      <c r="G32" s="673"/>
      <c r="H32" s="673"/>
    </row>
    <row r="33" spans="1:8">
      <c r="A33" s="660"/>
      <c r="B33" s="660"/>
      <c r="C33" s="1021" t="s">
        <v>414</v>
      </c>
      <c r="D33" s="1021"/>
      <c r="E33" s="1021"/>
      <c r="F33" s="1021"/>
      <c r="G33" s="1021"/>
      <c r="H33" s="674"/>
    </row>
    <row r="34" spans="1:8">
      <c r="A34" s="660"/>
      <c r="B34" s="660"/>
      <c r="C34" s="675"/>
      <c r="D34" s="675"/>
      <c r="E34" s="675"/>
      <c r="F34" s="675"/>
      <c r="G34" s="675"/>
      <c r="H34" s="676"/>
    </row>
    <row r="35" spans="1:8">
      <c r="A35" s="677" t="s">
        <v>1</v>
      </c>
      <c r="B35" s="653"/>
      <c r="C35" s="654" t="s">
        <v>1386</v>
      </c>
      <c r="D35" s="678"/>
      <c r="E35" s="656"/>
      <c r="F35" s="657"/>
      <c r="G35" s="658"/>
      <c r="H35" s="658"/>
    </row>
    <row r="36" spans="1:8" ht="47.25">
      <c r="A36" s="653" t="s">
        <v>30</v>
      </c>
      <c r="B36" s="653"/>
      <c r="C36" s="661" t="s">
        <v>1917</v>
      </c>
      <c r="D36" s="242"/>
      <c r="E36" s="679"/>
      <c r="F36" s="657"/>
      <c r="G36" s="658"/>
      <c r="H36" s="658"/>
    </row>
    <row r="37" spans="1:8" ht="78.75">
      <c r="A37" s="653"/>
      <c r="B37" s="653"/>
      <c r="C37" s="242" t="s">
        <v>1028</v>
      </c>
      <c r="D37" s="242"/>
      <c r="E37" s="679"/>
      <c r="F37" s="657"/>
      <c r="G37" s="658"/>
      <c r="H37" s="658"/>
    </row>
    <row r="38" spans="1:8" ht="78.75">
      <c r="A38" s="653"/>
      <c r="B38" s="653"/>
      <c r="C38" s="242" t="s">
        <v>1918</v>
      </c>
      <c r="D38" s="242"/>
      <c r="E38" s="679"/>
      <c r="F38" s="657"/>
      <c r="G38" s="658"/>
      <c r="H38" s="658"/>
    </row>
    <row r="39" spans="1:8" ht="53.25" customHeight="1">
      <c r="A39" s="653"/>
      <c r="B39" s="653"/>
      <c r="C39" s="242" t="s">
        <v>1029</v>
      </c>
      <c r="D39" s="242"/>
      <c r="E39" s="679"/>
      <c r="F39" s="657"/>
      <c r="G39" s="658"/>
      <c r="H39" s="658"/>
    </row>
    <row r="40" spans="1:8" ht="63">
      <c r="A40" s="653"/>
      <c r="B40" s="653"/>
      <c r="C40" s="242" t="s">
        <v>1030</v>
      </c>
      <c r="D40" s="242"/>
      <c r="E40" s="679"/>
      <c r="F40" s="657"/>
      <c r="G40" s="658"/>
      <c r="H40" s="658"/>
    </row>
    <row r="41" spans="1:8" ht="34.5" customHeight="1">
      <c r="A41" s="653"/>
      <c r="B41" s="653"/>
      <c r="C41" s="242" t="s">
        <v>1914</v>
      </c>
      <c r="D41" s="242"/>
      <c r="E41" s="679"/>
      <c r="F41" s="657"/>
      <c r="G41" s="658"/>
      <c r="H41" s="658"/>
    </row>
    <row r="42" spans="1:8" ht="62.25" customHeight="1">
      <c r="A42" s="653"/>
      <c r="B42" s="653"/>
      <c r="C42" s="242" t="s">
        <v>1031</v>
      </c>
      <c r="D42" s="242"/>
      <c r="E42" s="679"/>
      <c r="F42" s="657"/>
      <c r="G42" s="658"/>
      <c r="H42" s="658"/>
    </row>
    <row r="43" spans="1:8">
      <c r="A43" s="653"/>
      <c r="B43" s="653"/>
      <c r="C43" s="242" t="s">
        <v>392</v>
      </c>
      <c r="D43" s="470" t="s">
        <v>393</v>
      </c>
      <c r="E43" s="680">
        <f>'Specifikacija-Racun'!I15</f>
        <v>728.33600000000013</v>
      </c>
      <c r="F43" s="681">
        <v>5.0999999999999996</v>
      </c>
      <c r="G43" s="682"/>
      <c r="H43" s="682"/>
    </row>
    <row r="44" spans="1:8" ht="31.5">
      <c r="A44" s="653"/>
      <c r="B44" s="653"/>
      <c r="C44" s="242" t="s">
        <v>102</v>
      </c>
      <c r="D44" s="242"/>
      <c r="E44" s="679"/>
      <c r="F44" s="657"/>
      <c r="G44" s="658"/>
      <c r="H44" s="658"/>
    </row>
    <row r="45" spans="1:8" ht="47.25" customHeight="1">
      <c r="A45" s="653" t="s">
        <v>31</v>
      </c>
      <c r="B45" s="653"/>
      <c r="C45" s="661" t="s">
        <v>1032</v>
      </c>
      <c r="D45" s="242"/>
      <c r="E45" s="679"/>
      <c r="F45" s="657"/>
      <c r="G45" s="658"/>
      <c r="H45" s="658"/>
    </row>
    <row r="46" spans="1:8" ht="66.75" customHeight="1">
      <c r="A46" s="653"/>
      <c r="B46" s="653"/>
      <c r="C46" s="242" t="s">
        <v>1033</v>
      </c>
      <c r="D46" s="242"/>
      <c r="E46" s="679"/>
      <c r="F46" s="657"/>
      <c r="G46" s="658"/>
      <c r="H46" s="658"/>
    </row>
    <row r="47" spans="1:8" ht="31.5">
      <c r="A47" s="653"/>
      <c r="B47" s="653"/>
      <c r="C47" s="242" t="s">
        <v>1919</v>
      </c>
      <c r="D47" s="242"/>
      <c r="E47" s="679"/>
      <c r="F47" s="657"/>
      <c r="G47" s="658"/>
      <c r="H47" s="658"/>
    </row>
    <row r="48" spans="1:8" ht="31.5">
      <c r="A48" s="653"/>
      <c r="B48" s="653"/>
      <c r="C48" s="242" t="s">
        <v>421</v>
      </c>
      <c r="D48" s="242"/>
      <c r="E48" s="679"/>
      <c r="F48" s="657"/>
      <c r="G48" s="658"/>
      <c r="H48" s="658"/>
    </row>
    <row r="49" spans="1:8">
      <c r="A49" s="653"/>
      <c r="B49" s="653"/>
      <c r="C49" s="242" t="s">
        <v>392</v>
      </c>
      <c r="D49" s="470" t="s">
        <v>393</v>
      </c>
      <c r="E49" s="680">
        <f>'Specifikacija-Racun'!I21</f>
        <v>273.12600000000003</v>
      </c>
      <c r="F49" s="681">
        <v>17.7</v>
      </c>
      <c r="G49" s="682"/>
      <c r="H49" s="682"/>
    </row>
    <row r="50" spans="1:8" ht="31.5">
      <c r="A50" s="653"/>
      <c r="B50" s="653"/>
      <c r="C50" s="242" t="s">
        <v>103</v>
      </c>
      <c r="D50" s="242"/>
      <c r="E50" s="679"/>
      <c r="F50" s="657"/>
      <c r="G50" s="658"/>
      <c r="H50" s="658"/>
    </row>
    <row r="51" spans="1:8" ht="47.25">
      <c r="A51" s="653" t="s">
        <v>53</v>
      </c>
      <c r="B51" s="653"/>
      <c r="C51" s="661" t="s">
        <v>1034</v>
      </c>
      <c r="D51" s="242"/>
      <c r="E51" s="679"/>
      <c r="F51" s="657"/>
      <c r="G51" s="658"/>
      <c r="H51" s="658"/>
    </row>
    <row r="52" spans="1:8" ht="78.75">
      <c r="A52" s="653"/>
      <c r="B52" s="653"/>
      <c r="C52" s="242" t="s">
        <v>1033</v>
      </c>
      <c r="D52" s="242"/>
      <c r="E52" s="679"/>
      <c r="F52" s="657"/>
      <c r="G52" s="658"/>
      <c r="H52" s="658"/>
    </row>
    <row r="53" spans="1:8" ht="31.5">
      <c r="A53" s="653"/>
      <c r="B53" s="653"/>
      <c r="C53" s="242" t="s">
        <v>1920</v>
      </c>
      <c r="D53" s="242"/>
      <c r="E53" s="679"/>
      <c r="F53" s="657"/>
      <c r="G53" s="658"/>
      <c r="H53" s="658"/>
    </row>
    <row r="54" spans="1:8" ht="31.5">
      <c r="A54" s="653"/>
      <c r="B54" s="653"/>
      <c r="C54" s="242" t="s">
        <v>421</v>
      </c>
      <c r="D54" s="242"/>
      <c r="E54" s="679"/>
      <c r="F54" s="657"/>
      <c r="G54" s="658"/>
      <c r="H54" s="658"/>
    </row>
    <row r="55" spans="1:8" ht="19.5" customHeight="1">
      <c r="A55" s="653"/>
      <c r="B55" s="653"/>
      <c r="C55" s="242" t="s">
        <v>392</v>
      </c>
      <c r="D55" s="470" t="s">
        <v>393</v>
      </c>
      <c r="E55" s="680">
        <f>'Specifikacija-Racun'!I33</f>
        <v>287.04024999999996</v>
      </c>
      <c r="F55" s="683">
        <v>17.7</v>
      </c>
      <c r="G55" s="684"/>
      <c r="H55" s="684"/>
    </row>
    <row r="56" spans="1:8" ht="19.5" customHeight="1">
      <c r="A56" s="653"/>
      <c r="B56" s="653"/>
      <c r="C56" s="242" t="s">
        <v>104</v>
      </c>
      <c r="D56" s="470"/>
      <c r="E56" s="679"/>
      <c r="F56" s="657"/>
      <c r="G56" s="658"/>
      <c r="H56" s="658"/>
    </row>
    <row r="57" spans="1:8" ht="31.5">
      <c r="A57" s="653"/>
      <c r="B57" s="653"/>
      <c r="C57" s="242" t="s">
        <v>105</v>
      </c>
      <c r="D57" s="470"/>
      <c r="E57" s="679"/>
      <c r="F57" s="657"/>
      <c r="G57" s="658"/>
      <c r="H57" s="658"/>
    </row>
    <row r="58" spans="1:8" ht="78.75">
      <c r="A58" s="653" t="s">
        <v>32</v>
      </c>
      <c r="B58" s="653"/>
      <c r="C58" s="661" t="s">
        <v>1035</v>
      </c>
      <c r="D58" s="470"/>
      <c r="E58" s="679"/>
      <c r="F58" s="657"/>
      <c r="G58" s="658"/>
      <c r="H58" s="658"/>
    </row>
    <row r="59" spans="1:8" ht="47.25">
      <c r="A59" s="653"/>
      <c r="B59" s="653"/>
      <c r="C59" s="242" t="s">
        <v>1921</v>
      </c>
      <c r="D59" s="470"/>
      <c r="E59" s="679"/>
      <c r="F59" s="657"/>
      <c r="G59" s="658"/>
      <c r="H59" s="658"/>
    </row>
    <row r="60" spans="1:8" ht="31.5">
      <c r="A60" s="653"/>
      <c r="B60" s="653"/>
      <c r="C60" s="242" t="s">
        <v>421</v>
      </c>
      <c r="D60" s="470"/>
      <c r="E60" s="679"/>
      <c r="F60" s="657"/>
      <c r="G60" s="658"/>
      <c r="H60" s="658"/>
    </row>
    <row r="61" spans="1:8" ht="19.5" customHeight="1">
      <c r="A61" s="653"/>
      <c r="B61" s="653"/>
      <c r="C61" s="242" t="s">
        <v>392</v>
      </c>
      <c r="D61" s="470" t="s">
        <v>393</v>
      </c>
      <c r="E61" s="680">
        <f>'Specifikacija-Racun'!I42</f>
        <v>86.358750000000001</v>
      </c>
      <c r="F61" s="683">
        <v>17.7</v>
      </c>
      <c r="G61" s="684"/>
      <c r="H61" s="684"/>
    </row>
    <row r="62" spans="1:8" ht="79.5" thickBot="1">
      <c r="A62" s="653"/>
      <c r="B62" s="653"/>
      <c r="C62" s="685" t="s">
        <v>106</v>
      </c>
      <c r="D62" s="685"/>
      <c r="E62" s="686"/>
      <c r="F62" s="687"/>
      <c r="G62" s="688"/>
      <c r="H62" s="688"/>
    </row>
    <row r="63" spans="1:8">
      <c r="A63" s="653"/>
      <c r="B63" s="653"/>
      <c r="C63" s="1021" t="s">
        <v>1387</v>
      </c>
      <c r="D63" s="1021"/>
      <c r="E63" s="1021"/>
      <c r="F63" s="1021"/>
      <c r="G63" s="1021"/>
      <c r="H63" s="752"/>
    </row>
    <row r="64" spans="1:8">
      <c r="A64" s="653"/>
      <c r="B64" s="653"/>
      <c r="C64" s="675"/>
      <c r="D64" s="675"/>
      <c r="E64" s="675"/>
      <c r="F64" s="675"/>
      <c r="G64" s="675"/>
      <c r="H64" s="689"/>
    </row>
    <row r="65" spans="1:8">
      <c r="A65" s="690" t="s">
        <v>2</v>
      </c>
      <c r="B65" s="653"/>
      <c r="C65" s="654" t="s">
        <v>1036</v>
      </c>
      <c r="D65" s="678"/>
      <c r="E65" s="656"/>
      <c r="F65" s="657"/>
      <c r="G65" s="658"/>
      <c r="H65" s="658"/>
    </row>
    <row r="66" spans="1:8" ht="31.5">
      <c r="A66" s="653" t="s">
        <v>33</v>
      </c>
      <c r="B66" s="653"/>
      <c r="C66" s="661" t="s">
        <v>1037</v>
      </c>
      <c r="D66" s="678"/>
      <c r="E66" s="656"/>
      <c r="F66" s="657"/>
      <c r="G66" s="658"/>
      <c r="H66" s="658"/>
    </row>
    <row r="67" spans="1:8" ht="14.25" customHeight="1">
      <c r="A67" s="653"/>
      <c r="B67" s="653"/>
      <c r="C67" s="242" t="s">
        <v>1038</v>
      </c>
      <c r="D67" s="678"/>
      <c r="E67" s="656"/>
      <c r="F67" s="657"/>
      <c r="G67" s="658"/>
      <c r="H67" s="658"/>
    </row>
    <row r="68" spans="1:8" ht="81.75" customHeight="1">
      <c r="A68" s="653"/>
      <c r="B68" s="653"/>
      <c r="C68" s="242" t="s">
        <v>1039</v>
      </c>
      <c r="D68" s="678"/>
      <c r="E68" s="656"/>
      <c r="F68" s="657"/>
      <c r="G68" s="658"/>
      <c r="H68" s="658"/>
    </row>
    <row r="69" spans="1:8" ht="110.25">
      <c r="A69" s="653"/>
      <c r="B69" s="653"/>
      <c r="C69" s="242" t="s">
        <v>1040</v>
      </c>
      <c r="D69" s="678"/>
      <c r="E69" s="656"/>
      <c r="F69" s="657"/>
      <c r="G69" s="658"/>
      <c r="H69" s="658"/>
    </row>
    <row r="70" spans="1:8" ht="110.25">
      <c r="A70" s="653"/>
      <c r="B70" s="653"/>
      <c r="C70" s="242" t="s">
        <v>1041</v>
      </c>
      <c r="D70" s="678"/>
      <c r="E70" s="656"/>
      <c r="F70" s="657"/>
      <c r="G70" s="658"/>
      <c r="H70" s="658"/>
    </row>
    <row r="71" spans="1:8" ht="52.5" customHeight="1">
      <c r="A71" s="653"/>
      <c r="B71" s="653"/>
      <c r="C71" s="242" t="s">
        <v>1042</v>
      </c>
      <c r="D71" s="678"/>
      <c r="E71" s="656"/>
      <c r="F71" s="657"/>
      <c r="G71" s="658"/>
      <c r="H71" s="658"/>
    </row>
    <row r="72" spans="1:8">
      <c r="A72" s="653"/>
      <c r="B72" s="653"/>
      <c r="C72" s="666" t="s">
        <v>392</v>
      </c>
      <c r="D72" s="678" t="s">
        <v>393</v>
      </c>
      <c r="E72" s="656">
        <f>'Specifikacija-Racun'!I51</f>
        <v>84.186749999999989</v>
      </c>
      <c r="F72" s="657">
        <v>119</v>
      </c>
      <c r="G72" s="658"/>
      <c r="H72" s="658"/>
    </row>
    <row r="73" spans="1:8">
      <c r="A73" s="653"/>
      <c r="B73" s="653"/>
      <c r="C73" s="667" t="s">
        <v>1043</v>
      </c>
      <c r="D73" s="678"/>
      <c r="E73" s="656"/>
      <c r="F73" s="657"/>
      <c r="G73" s="658"/>
      <c r="H73" s="658"/>
    </row>
    <row r="74" spans="1:8" ht="31.5">
      <c r="A74" s="653"/>
      <c r="B74" s="653"/>
      <c r="C74" s="666" t="s">
        <v>119</v>
      </c>
      <c r="D74" s="678"/>
      <c r="E74" s="656"/>
      <c r="F74" s="657"/>
      <c r="G74" s="658"/>
      <c r="H74" s="658"/>
    </row>
    <row r="75" spans="1:8">
      <c r="A75" s="653"/>
      <c r="B75" s="653"/>
      <c r="C75" s="666" t="s">
        <v>1044</v>
      </c>
      <c r="D75" s="678"/>
      <c r="E75" s="656"/>
      <c r="F75" s="657"/>
      <c r="G75" s="658"/>
      <c r="H75" s="658"/>
    </row>
    <row r="76" spans="1:8">
      <c r="A76" s="653"/>
      <c r="B76" s="653"/>
      <c r="C76" s="666" t="s">
        <v>117</v>
      </c>
      <c r="D76" s="678"/>
      <c r="E76" s="656"/>
      <c r="F76" s="657"/>
      <c r="G76" s="658"/>
      <c r="H76" s="658"/>
    </row>
    <row r="77" spans="1:8">
      <c r="A77" s="653"/>
      <c r="B77" s="653"/>
      <c r="C77" s="667" t="s">
        <v>1394</v>
      </c>
      <c r="D77" s="678"/>
      <c r="E77" s="656"/>
      <c r="F77" s="657"/>
      <c r="G77" s="658"/>
      <c r="H77" s="658"/>
    </row>
    <row r="78" spans="1:8" ht="31.5">
      <c r="A78" s="653"/>
      <c r="B78" s="653"/>
      <c r="C78" s="666" t="s">
        <v>118</v>
      </c>
      <c r="D78" s="678"/>
      <c r="E78" s="656"/>
      <c r="F78" s="657"/>
      <c r="G78" s="658"/>
      <c r="H78" s="658"/>
    </row>
    <row r="79" spans="1:8">
      <c r="A79" s="653"/>
      <c r="B79" s="653"/>
      <c r="C79" s="666" t="s">
        <v>1046</v>
      </c>
      <c r="D79" s="678"/>
      <c r="E79" s="656"/>
      <c r="F79" s="657"/>
      <c r="G79" s="658"/>
      <c r="H79" s="658"/>
    </row>
    <row r="80" spans="1:8" ht="31.5">
      <c r="A80" s="653"/>
      <c r="B80" s="653"/>
      <c r="C80" s="666" t="s">
        <v>120</v>
      </c>
      <c r="D80" s="678"/>
      <c r="E80" s="656"/>
      <c r="F80" s="657"/>
      <c r="G80" s="658"/>
      <c r="H80" s="658"/>
    </row>
    <row r="81" spans="1:8">
      <c r="A81" s="653"/>
      <c r="B81" s="653"/>
      <c r="C81" s="667" t="s">
        <v>1047</v>
      </c>
      <c r="D81" s="678"/>
      <c r="E81" s="656"/>
      <c r="F81" s="657"/>
      <c r="G81" s="658"/>
      <c r="H81" s="658"/>
    </row>
    <row r="82" spans="1:8">
      <c r="A82" s="653"/>
      <c r="B82" s="653"/>
      <c r="C82" s="666" t="s">
        <v>121</v>
      </c>
      <c r="D82" s="678"/>
      <c r="E82" s="656"/>
      <c r="F82" s="657"/>
      <c r="G82" s="658"/>
      <c r="H82" s="658"/>
    </row>
    <row r="83" spans="1:8" ht="47.25">
      <c r="A83" s="653" t="s">
        <v>34</v>
      </c>
      <c r="B83" s="653" t="s">
        <v>11</v>
      </c>
      <c r="C83" s="661" t="s">
        <v>1048</v>
      </c>
      <c r="D83" s="678"/>
      <c r="E83" s="656"/>
      <c r="F83" s="657"/>
      <c r="G83" s="658"/>
      <c r="H83" s="658"/>
    </row>
    <row r="84" spans="1:8" ht="67.5" customHeight="1">
      <c r="A84" s="653"/>
      <c r="B84" s="653"/>
      <c r="C84" s="242" t="s">
        <v>1049</v>
      </c>
      <c r="D84" s="678"/>
      <c r="E84" s="656"/>
      <c r="F84" s="657"/>
      <c r="G84" s="658"/>
      <c r="H84" s="658"/>
    </row>
    <row r="85" spans="1:8" ht="63">
      <c r="A85" s="653"/>
      <c r="B85" s="653"/>
      <c r="C85" s="242" t="s">
        <v>1050</v>
      </c>
      <c r="D85" s="678"/>
      <c r="E85" s="656"/>
      <c r="F85" s="657"/>
      <c r="G85" s="658"/>
      <c r="H85" s="658"/>
    </row>
    <row r="86" spans="1:8" ht="47.25">
      <c r="A86" s="653"/>
      <c r="B86" s="653"/>
      <c r="C86" s="242" t="s">
        <v>1051</v>
      </c>
      <c r="D86" s="678"/>
      <c r="E86" s="656"/>
      <c r="F86" s="657"/>
      <c r="G86" s="658"/>
      <c r="H86" s="658"/>
    </row>
    <row r="87" spans="1:8" ht="31.5">
      <c r="A87" s="653"/>
      <c r="B87" s="653"/>
      <c r="C87" s="242" t="s">
        <v>1052</v>
      </c>
      <c r="D87" s="678"/>
      <c r="E87" s="656"/>
      <c r="F87" s="657"/>
      <c r="G87" s="658"/>
      <c r="H87" s="658"/>
    </row>
    <row r="88" spans="1:8" ht="63">
      <c r="A88" s="653"/>
      <c r="B88" s="653"/>
      <c r="C88" s="242" t="s">
        <v>1053</v>
      </c>
      <c r="D88" s="678"/>
      <c r="E88" s="656"/>
      <c r="F88" s="657"/>
      <c r="G88" s="658"/>
      <c r="H88" s="658"/>
    </row>
    <row r="89" spans="1:8">
      <c r="A89" s="653"/>
      <c r="B89" s="653"/>
      <c r="C89" s="666" t="s">
        <v>410</v>
      </c>
      <c r="D89" s="678" t="s">
        <v>399</v>
      </c>
      <c r="E89" s="656">
        <f>'Specifikacija-Racun'!I62</f>
        <v>257.00999999999988</v>
      </c>
      <c r="F89" s="657">
        <v>9</v>
      </c>
      <c r="G89" s="658"/>
      <c r="H89" s="658"/>
    </row>
    <row r="90" spans="1:8">
      <c r="A90" s="653"/>
      <c r="B90" s="653"/>
      <c r="C90" s="661" t="s">
        <v>1043</v>
      </c>
      <c r="D90" s="678"/>
      <c r="E90" s="656"/>
      <c r="F90" s="657"/>
      <c r="G90" s="658"/>
      <c r="H90" s="658"/>
    </row>
    <row r="91" spans="1:8" ht="31.5">
      <c r="A91" s="653"/>
      <c r="B91" s="653"/>
      <c r="C91" s="242" t="s">
        <v>122</v>
      </c>
      <c r="D91" s="678"/>
      <c r="E91" s="656"/>
      <c r="F91" s="657"/>
      <c r="G91" s="658"/>
      <c r="H91" s="658"/>
    </row>
    <row r="92" spans="1:8">
      <c r="A92" s="653"/>
      <c r="B92" s="653"/>
      <c r="C92" s="242" t="s">
        <v>1054</v>
      </c>
      <c r="D92" s="678"/>
      <c r="E92" s="656"/>
      <c r="F92" s="657"/>
      <c r="G92" s="658"/>
      <c r="H92" s="658"/>
    </row>
    <row r="93" spans="1:8" ht="47.25">
      <c r="A93" s="653"/>
      <c r="B93" s="653"/>
      <c r="C93" s="242" t="s">
        <v>124</v>
      </c>
      <c r="D93" s="678"/>
      <c r="E93" s="656"/>
      <c r="F93" s="657"/>
      <c r="G93" s="658"/>
      <c r="H93" s="658"/>
    </row>
    <row r="94" spans="1:8">
      <c r="A94" s="653"/>
      <c r="B94" s="653"/>
      <c r="C94" s="661" t="s">
        <v>1394</v>
      </c>
      <c r="D94" s="678"/>
      <c r="E94" s="656"/>
      <c r="F94" s="657"/>
      <c r="G94" s="658"/>
      <c r="H94" s="658"/>
    </row>
    <row r="95" spans="1:8" ht="31.5">
      <c r="A95" s="653"/>
      <c r="B95" s="653"/>
      <c r="C95" s="242" t="s">
        <v>125</v>
      </c>
      <c r="D95" s="678"/>
      <c r="E95" s="656"/>
      <c r="F95" s="657"/>
      <c r="G95" s="658"/>
      <c r="H95" s="658"/>
    </row>
    <row r="96" spans="1:8">
      <c r="A96" s="653"/>
      <c r="B96" s="653"/>
      <c r="C96" s="242" t="s">
        <v>1054</v>
      </c>
      <c r="D96" s="678"/>
      <c r="E96" s="656"/>
      <c r="F96" s="657"/>
      <c r="G96" s="658"/>
      <c r="H96" s="658"/>
    </row>
    <row r="97" spans="1:8" ht="47.25">
      <c r="A97" s="653"/>
      <c r="B97" s="653"/>
      <c r="C97" s="242" t="s">
        <v>126</v>
      </c>
      <c r="D97" s="678"/>
      <c r="E97" s="656"/>
      <c r="F97" s="657"/>
      <c r="G97" s="658"/>
      <c r="H97" s="658"/>
    </row>
    <row r="98" spans="1:8">
      <c r="A98" s="653"/>
      <c r="B98" s="653"/>
      <c r="C98" s="661" t="s">
        <v>1395</v>
      </c>
      <c r="D98" s="678"/>
      <c r="E98" s="656"/>
      <c r="F98" s="657"/>
      <c r="G98" s="658"/>
      <c r="H98" s="658"/>
    </row>
    <row r="99" spans="1:8" ht="31.5">
      <c r="A99" s="653"/>
      <c r="B99" s="653"/>
      <c r="C99" s="242" t="s">
        <v>125</v>
      </c>
      <c r="D99" s="678"/>
      <c r="E99" s="656"/>
      <c r="F99" s="657"/>
      <c r="G99" s="658"/>
      <c r="H99" s="658"/>
    </row>
    <row r="100" spans="1:8">
      <c r="A100" s="653"/>
      <c r="B100" s="653"/>
      <c r="C100" s="242" t="s">
        <v>1054</v>
      </c>
      <c r="D100" s="678"/>
      <c r="E100" s="656"/>
      <c r="F100" s="657"/>
      <c r="G100" s="658"/>
      <c r="H100" s="658"/>
    </row>
    <row r="101" spans="1:8" ht="47.25">
      <c r="A101" s="653"/>
      <c r="B101" s="653"/>
      <c r="C101" s="242" t="s">
        <v>126</v>
      </c>
      <c r="D101" s="678"/>
      <c r="E101" s="656"/>
      <c r="F101" s="657"/>
      <c r="G101" s="658"/>
      <c r="H101" s="658"/>
    </row>
    <row r="102" spans="1:8">
      <c r="A102" s="653"/>
      <c r="B102" s="653"/>
      <c r="C102" s="661" t="s">
        <v>1047</v>
      </c>
      <c r="D102" s="678"/>
      <c r="E102" s="656"/>
      <c r="F102" s="657"/>
      <c r="G102" s="658"/>
      <c r="H102" s="658"/>
    </row>
    <row r="103" spans="1:8" ht="31.5">
      <c r="A103" s="653"/>
      <c r="B103" s="653"/>
      <c r="C103" s="242" t="s">
        <v>127</v>
      </c>
      <c r="D103" s="678"/>
      <c r="E103" s="656"/>
      <c r="F103" s="657"/>
      <c r="G103" s="658"/>
      <c r="H103" s="658"/>
    </row>
    <row r="104" spans="1:8" ht="31.5">
      <c r="A104" s="653" t="s">
        <v>48</v>
      </c>
      <c r="B104" s="653"/>
      <c r="C104" s="661" t="s">
        <v>1418</v>
      </c>
      <c r="D104" s="678"/>
      <c r="E104" s="656"/>
      <c r="F104" s="657"/>
      <c r="G104" s="658"/>
      <c r="H104" s="658"/>
    </row>
    <row r="105" spans="1:8" ht="78.75">
      <c r="A105" s="653"/>
      <c r="B105" s="653"/>
      <c r="C105" s="242" t="s">
        <v>1055</v>
      </c>
      <c r="D105" s="678"/>
      <c r="E105" s="656"/>
      <c r="F105" s="657"/>
      <c r="G105" s="658"/>
      <c r="H105" s="658"/>
    </row>
    <row r="106" spans="1:8" ht="78.75">
      <c r="A106" s="653"/>
      <c r="B106" s="653"/>
      <c r="C106" s="242" t="s">
        <v>1056</v>
      </c>
      <c r="D106" s="678"/>
      <c r="E106" s="656"/>
      <c r="F106" s="657"/>
      <c r="G106" s="658"/>
      <c r="H106" s="658"/>
    </row>
    <row r="107" spans="1:8" ht="47.25">
      <c r="A107" s="653"/>
      <c r="B107" s="653"/>
      <c r="C107" s="242" t="s">
        <v>1057</v>
      </c>
      <c r="D107" s="678"/>
      <c r="E107" s="656"/>
      <c r="F107" s="657"/>
      <c r="G107" s="658"/>
      <c r="H107" s="658"/>
    </row>
    <row r="108" spans="1:8" ht="63">
      <c r="A108" s="653"/>
      <c r="B108" s="653"/>
      <c r="C108" s="242" t="s">
        <v>1053</v>
      </c>
      <c r="D108" s="678"/>
      <c r="E108" s="656"/>
      <c r="F108" s="657"/>
      <c r="G108" s="658"/>
      <c r="H108" s="658"/>
    </row>
    <row r="109" spans="1:8">
      <c r="A109" s="653"/>
      <c r="B109" s="653"/>
      <c r="C109" s="666" t="s">
        <v>410</v>
      </c>
      <c r="D109" s="678" t="s">
        <v>399</v>
      </c>
      <c r="E109" s="656">
        <f>'Specifikacija-Racun'!I72</f>
        <v>1236.6500000000001</v>
      </c>
      <c r="F109" s="657">
        <v>12</v>
      </c>
      <c r="G109" s="658"/>
      <c r="H109" s="658"/>
    </row>
    <row r="110" spans="1:8">
      <c r="A110" s="653"/>
      <c r="B110" s="653"/>
      <c r="C110" s="666" t="s">
        <v>1043</v>
      </c>
      <c r="D110" s="678"/>
      <c r="E110" s="656"/>
      <c r="F110" s="657"/>
      <c r="G110" s="658"/>
      <c r="H110" s="658"/>
    </row>
    <row r="111" spans="1:8">
      <c r="A111" s="653"/>
      <c r="B111" s="653"/>
      <c r="C111" s="666" t="s">
        <v>129</v>
      </c>
      <c r="D111" s="678"/>
      <c r="E111" s="656"/>
      <c r="F111" s="657"/>
      <c r="G111" s="658"/>
      <c r="H111" s="658"/>
    </row>
    <row r="112" spans="1:8">
      <c r="A112" s="653"/>
      <c r="B112" s="653"/>
      <c r="C112" s="666" t="s">
        <v>1044</v>
      </c>
      <c r="D112" s="678"/>
      <c r="E112" s="656"/>
      <c r="F112" s="657"/>
      <c r="G112" s="658"/>
      <c r="H112" s="658"/>
    </row>
    <row r="113" spans="1:8">
      <c r="A113" s="653"/>
      <c r="B113" s="653"/>
      <c r="C113" s="666" t="s">
        <v>130</v>
      </c>
      <c r="D113" s="678"/>
      <c r="E113" s="656"/>
      <c r="F113" s="657"/>
      <c r="G113" s="658"/>
      <c r="H113" s="658"/>
    </row>
    <row r="114" spans="1:8">
      <c r="A114" s="653"/>
      <c r="B114" s="653"/>
      <c r="C114" s="666" t="s">
        <v>1045</v>
      </c>
      <c r="D114" s="678"/>
      <c r="E114" s="656"/>
      <c r="F114" s="657"/>
      <c r="G114" s="658"/>
      <c r="H114" s="658"/>
    </row>
    <row r="115" spans="1:8">
      <c r="A115" s="653"/>
      <c r="B115" s="653"/>
      <c r="C115" s="666" t="s">
        <v>129</v>
      </c>
      <c r="D115" s="678"/>
      <c r="E115" s="656"/>
      <c r="F115" s="657"/>
      <c r="G115" s="658"/>
      <c r="H115" s="658"/>
    </row>
    <row r="116" spans="1:8">
      <c r="A116" s="653"/>
      <c r="B116" s="653"/>
      <c r="C116" s="666" t="s">
        <v>1044</v>
      </c>
      <c r="D116" s="678"/>
      <c r="E116" s="656"/>
      <c r="F116" s="657"/>
      <c r="G116" s="658"/>
      <c r="H116" s="658"/>
    </row>
    <row r="117" spans="1:8">
      <c r="A117" s="653"/>
      <c r="B117" s="653"/>
      <c r="C117" s="666" t="s">
        <v>130</v>
      </c>
      <c r="D117" s="678"/>
      <c r="E117" s="656"/>
      <c r="F117" s="657"/>
      <c r="G117" s="658"/>
      <c r="H117" s="658"/>
    </row>
    <row r="118" spans="1:8">
      <c r="A118" s="653"/>
      <c r="B118" s="653"/>
      <c r="C118" s="666" t="s">
        <v>1046</v>
      </c>
      <c r="D118" s="678"/>
      <c r="E118" s="656"/>
      <c r="F118" s="657"/>
      <c r="G118" s="658"/>
      <c r="H118" s="658"/>
    </row>
    <row r="119" spans="1:8">
      <c r="A119" s="653"/>
      <c r="B119" s="653"/>
      <c r="C119" s="666" t="s">
        <v>129</v>
      </c>
      <c r="D119" s="678"/>
      <c r="E119" s="656"/>
      <c r="F119" s="657"/>
      <c r="G119" s="658"/>
      <c r="H119" s="658"/>
    </row>
    <row r="120" spans="1:8">
      <c r="A120" s="653"/>
      <c r="B120" s="653"/>
      <c r="C120" s="666" t="s">
        <v>1044</v>
      </c>
      <c r="D120" s="678"/>
      <c r="E120" s="656"/>
      <c r="F120" s="657"/>
      <c r="G120" s="658"/>
      <c r="H120" s="658"/>
    </row>
    <row r="121" spans="1:8">
      <c r="A121" s="653"/>
      <c r="B121" s="653"/>
      <c r="C121" s="666" t="s">
        <v>130</v>
      </c>
      <c r="D121" s="678"/>
      <c r="E121" s="656"/>
      <c r="F121" s="657"/>
      <c r="G121" s="658"/>
      <c r="H121" s="658"/>
    </row>
    <row r="122" spans="1:8">
      <c r="A122" s="653"/>
      <c r="B122" s="653"/>
      <c r="C122" s="666" t="s">
        <v>1047</v>
      </c>
      <c r="D122" s="678"/>
      <c r="E122" s="656"/>
      <c r="F122" s="657"/>
      <c r="G122" s="658"/>
      <c r="H122" s="658"/>
    </row>
    <row r="123" spans="1:8">
      <c r="A123" s="653"/>
      <c r="B123" s="653"/>
      <c r="C123" s="666" t="s">
        <v>131</v>
      </c>
      <c r="D123" s="678"/>
      <c r="E123" s="656"/>
      <c r="F123" s="657"/>
      <c r="G123" s="658"/>
      <c r="H123" s="658"/>
    </row>
    <row r="124" spans="1:8" ht="47.25">
      <c r="A124" s="653" t="s">
        <v>132</v>
      </c>
      <c r="B124" s="653"/>
      <c r="C124" s="661" t="s">
        <v>1058</v>
      </c>
      <c r="D124" s="678"/>
      <c r="E124" s="656"/>
      <c r="F124" s="657"/>
      <c r="G124" s="658"/>
      <c r="H124" s="658"/>
    </row>
    <row r="125" spans="1:8" ht="78.75">
      <c r="A125" s="653"/>
      <c r="B125" s="653"/>
      <c r="C125" s="242" t="s">
        <v>1059</v>
      </c>
      <c r="D125" s="678"/>
      <c r="E125" s="656"/>
      <c r="F125" s="657"/>
      <c r="G125" s="658"/>
      <c r="H125" s="658"/>
    </row>
    <row r="126" spans="1:8" ht="78.75">
      <c r="A126" s="653"/>
      <c r="B126" s="653"/>
      <c r="C126" s="242" t="s">
        <v>1056</v>
      </c>
      <c r="D126" s="678"/>
      <c r="E126" s="656"/>
      <c r="F126" s="657"/>
      <c r="G126" s="658"/>
      <c r="H126" s="658"/>
    </row>
    <row r="127" spans="1:8" ht="47.25">
      <c r="A127" s="653"/>
      <c r="B127" s="653"/>
      <c r="C127" s="242" t="s">
        <v>1057</v>
      </c>
      <c r="D127" s="678"/>
      <c r="E127" s="656"/>
      <c r="F127" s="657"/>
      <c r="G127" s="658"/>
      <c r="H127" s="658"/>
    </row>
    <row r="128" spans="1:8" ht="63">
      <c r="A128" s="653"/>
      <c r="B128" s="653"/>
      <c r="C128" s="242" t="s">
        <v>1053</v>
      </c>
      <c r="D128" s="678"/>
      <c r="E128" s="656"/>
      <c r="F128" s="657"/>
      <c r="G128" s="658"/>
      <c r="H128" s="658"/>
    </row>
    <row r="129" spans="1:8">
      <c r="A129" s="653"/>
      <c r="B129" s="653"/>
      <c r="C129" s="666" t="s">
        <v>410</v>
      </c>
      <c r="D129" s="678" t="s">
        <v>399</v>
      </c>
      <c r="E129" s="656">
        <f>'Specifikacija-Racun'!I74</f>
        <v>61.199999999999996</v>
      </c>
      <c r="F129" s="657">
        <v>18</v>
      </c>
      <c r="G129" s="658"/>
      <c r="H129" s="658"/>
    </row>
    <row r="130" spans="1:8">
      <c r="A130" s="653"/>
      <c r="B130" s="653"/>
      <c r="C130" s="666" t="s">
        <v>133</v>
      </c>
      <c r="D130" s="678"/>
      <c r="E130" s="656"/>
      <c r="F130" s="657"/>
      <c r="G130" s="658"/>
      <c r="H130" s="658"/>
    </row>
    <row r="131" spans="1:8" ht="63">
      <c r="A131" s="653" t="s">
        <v>134</v>
      </c>
      <c r="B131" s="653" t="s">
        <v>12</v>
      </c>
      <c r="C131" s="661" t="s">
        <v>1060</v>
      </c>
      <c r="D131" s="678"/>
      <c r="E131" s="656"/>
      <c r="F131" s="657"/>
      <c r="G131" s="658"/>
      <c r="H131" s="658"/>
    </row>
    <row r="132" spans="1:8" ht="78.75">
      <c r="A132" s="653"/>
      <c r="B132" s="653"/>
      <c r="C132" s="242" t="s">
        <v>1061</v>
      </c>
      <c r="D132" s="678"/>
      <c r="E132" s="656"/>
      <c r="F132" s="657"/>
      <c r="G132" s="658"/>
      <c r="H132" s="658"/>
    </row>
    <row r="133" spans="1:8" ht="94.5">
      <c r="A133" s="653"/>
      <c r="B133" s="653"/>
      <c r="C133" s="242" t="s">
        <v>1062</v>
      </c>
      <c r="D133" s="678"/>
      <c r="E133" s="656"/>
      <c r="F133" s="657"/>
      <c r="G133" s="658"/>
      <c r="H133" s="658"/>
    </row>
    <row r="134" spans="1:8" ht="63">
      <c r="A134" s="653"/>
      <c r="B134" s="653"/>
      <c r="C134" s="242" t="s">
        <v>1053</v>
      </c>
      <c r="D134" s="678"/>
      <c r="E134" s="656"/>
      <c r="F134" s="657"/>
      <c r="G134" s="658"/>
      <c r="H134" s="658"/>
    </row>
    <row r="135" spans="1:8" ht="16.5" thickBot="1">
      <c r="A135" s="653"/>
      <c r="B135" s="653"/>
      <c r="C135" s="685" t="s">
        <v>1063</v>
      </c>
      <c r="D135" s="691" t="s">
        <v>468</v>
      </c>
      <c r="E135" s="673">
        <v>500</v>
      </c>
      <c r="F135" s="687">
        <v>2.5</v>
      </c>
      <c r="G135" s="688"/>
      <c r="H135" s="688"/>
    </row>
    <row r="136" spans="1:8">
      <c r="A136" s="653"/>
      <c r="B136" s="653"/>
      <c r="C136" s="1021" t="s">
        <v>1064</v>
      </c>
      <c r="D136" s="1021"/>
      <c r="E136" s="1021"/>
      <c r="F136" s="1021"/>
      <c r="G136" s="1021"/>
      <c r="H136" s="752"/>
    </row>
    <row r="137" spans="1:8" ht="30" customHeight="1">
      <c r="A137" s="653"/>
      <c r="B137" s="653"/>
      <c r="C137" s="675"/>
      <c r="D137" s="675"/>
      <c r="E137" s="675"/>
      <c r="F137" s="675"/>
      <c r="G137" s="675"/>
      <c r="H137" s="689"/>
    </row>
    <row r="138" spans="1:8" ht="31.5">
      <c r="A138" s="692" t="s">
        <v>3</v>
      </c>
      <c r="B138" s="693"/>
      <c r="C138" s="694" t="s">
        <v>427</v>
      </c>
      <c r="D138" s="678"/>
      <c r="E138" s="656"/>
      <c r="F138" s="657"/>
      <c r="G138" s="658"/>
      <c r="H138" s="658"/>
    </row>
    <row r="139" spans="1:8" ht="47.25">
      <c r="A139" s="693" t="s">
        <v>35</v>
      </c>
      <c r="B139" s="693"/>
      <c r="C139" s="661" t="s">
        <v>1065</v>
      </c>
      <c r="D139" s="678"/>
      <c r="E139" s="656"/>
      <c r="F139" s="657"/>
      <c r="G139" s="658"/>
      <c r="H139" s="658"/>
    </row>
    <row r="140" spans="1:8" ht="31.5">
      <c r="A140" s="692"/>
      <c r="B140" s="693"/>
      <c r="C140" s="242" t="s">
        <v>1066</v>
      </c>
      <c r="D140" s="678"/>
      <c r="E140" s="656"/>
      <c r="F140" s="657"/>
      <c r="G140" s="658"/>
      <c r="H140" s="658"/>
    </row>
    <row r="141" spans="1:8" ht="31.5">
      <c r="A141" s="692"/>
      <c r="B141" s="693"/>
      <c r="C141" s="242" t="s">
        <v>434</v>
      </c>
      <c r="D141" s="678"/>
      <c r="E141" s="656"/>
      <c r="F141" s="657"/>
      <c r="G141" s="658"/>
      <c r="H141" s="658"/>
    </row>
    <row r="142" spans="1:8">
      <c r="A142" s="692"/>
      <c r="B142" s="693"/>
      <c r="C142" s="242" t="s">
        <v>410</v>
      </c>
      <c r="D142" s="678" t="s">
        <v>399</v>
      </c>
      <c r="E142" s="682">
        <f>'Specifikacija-Racun'!I79</f>
        <v>575.95000000000005</v>
      </c>
      <c r="F142" s="683">
        <v>6</v>
      </c>
      <c r="G142" s="684"/>
      <c r="H142" s="684"/>
    </row>
    <row r="143" spans="1:8" ht="78.75">
      <c r="A143" s="692"/>
      <c r="B143" s="693"/>
      <c r="C143" s="242" t="s">
        <v>106</v>
      </c>
      <c r="D143" s="678"/>
      <c r="E143" s="656"/>
      <c r="F143" s="657"/>
      <c r="G143" s="658"/>
      <c r="H143" s="658"/>
    </row>
    <row r="144" spans="1:8" ht="47.25">
      <c r="A144" s="693" t="s">
        <v>36</v>
      </c>
      <c r="B144" s="653" t="s">
        <v>54</v>
      </c>
      <c r="C144" s="661" t="s">
        <v>1067</v>
      </c>
      <c r="D144" s="678"/>
      <c r="E144" s="656"/>
      <c r="F144" s="657"/>
      <c r="G144" s="658"/>
      <c r="H144" s="658"/>
    </row>
    <row r="145" spans="1:8" ht="31.5">
      <c r="A145" s="693"/>
      <c r="B145" s="653"/>
      <c r="C145" s="242" t="s">
        <v>428</v>
      </c>
      <c r="D145" s="678"/>
      <c r="E145" s="656"/>
      <c r="F145" s="657"/>
      <c r="G145" s="658"/>
      <c r="H145" s="658"/>
    </row>
    <row r="146" spans="1:8" ht="48.75" customHeight="1">
      <c r="A146" s="693"/>
      <c r="B146" s="653"/>
      <c r="C146" s="242" t="s">
        <v>429</v>
      </c>
      <c r="D146" s="678"/>
      <c r="E146" s="656"/>
      <c r="F146" s="657"/>
      <c r="G146" s="658"/>
      <c r="H146" s="658"/>
    </row>
    <row r="147" spans="1:8" ht="33" customHeight="1">
      <c r="A147" s="693"/>
      <c r="B147" s="653"/>
      <c r="C147" s="242" t="s">
        <v>1729</v>
      </c>
      <c r="D147" s="678"/>
      <c r="E147" s="656"/>
      <c r="F147" s="657"/>
      <c r="G147" s="658"/>
      <c r="H147" s="658"/>
    </row>
    <row r="148" spans="1:8">
      <c r="A148" s="693"/>
      <c r="B148" s="653"/>
      <c r="C148" s="242" t="s">
        <v>430</v>
      </c>
      <c r="D148" s="678" t="s">
        <v>393</v>
      </c>
      <c r="E148" s="656">
        <f>'Specifikacija-Racun'!I82</f>
        <v>124.95349999999999</v>
      </c>
      <c r="F148" s="657">
        <v>56.1</v>
      </c>
      <c r="G148" s="658"/>
      <c r="H148" s="658"/>
    </row>
    <row r="149" spans="1:8" ht="126">
      <c r="A149" s="693"/>
      <c r="B149" s="653"/>
      <c r="C149" s="242" t="s">
        <v>279</v>
      </c>
      <c r="D149" s="678"/>
      <c r="E149" s="656"/>
      <c r="F149" s="657"/>
      <c r="G149" s="658"/>
      <c r="H149" s="658"/>
    </row>
    <row r="150" spans="1:8" ht="47.25">
      <c r="A150" s="693" t="s">
        <v>37</v>
      </c>
      <c r="B150" s="653"/>
      <c r="C150" s="661" t="s">
        <v>1068</v>
      </c>
      <c r="D150" s="678"/>
      <c r="E150" s="656"/>
      <c r="F150" s="657"/>
      <c r="G150" s="658"/>
      <c r="H150" s="658"/>
    </row>
    <row r="151" spans="1:8" ht="47.25" customHeight="1">
      <c r="A151" s="693"/>
      <c r="B151" s="653"/>
      <c r="C151" s="242" t="s">
        <v>1069</v>
      </c>
      <c r="D151" s="678"/>
      <c r="E151" s="656"/>
      <c r="F151" s="657"/>
      <c r="G151" s="658"/>
      <c r="H151" s="658"/>
    </row>
    <row r="152" spans="1:8" ht="31.5">
      <c r="A152" s="693"/>
      <c r="B152" s="653"/>
      <c r="C152" s="242" t="s">
        <v>1730</v>
      </c>
      <c r="D152" s="678"/>
      <c r="E152" s="656"/>
      <c r="F152" s="657"/>
      <c r="G152" s="658"/>
      <c r="H152" s="658"/>
    </row>
    <row r="153" spans="1:8">
      <c r="A153" s="693"/>
      <c r="B153" s="653"/>
      <c r="C153" s="242"/>
      <c r="D153" s="678"/>
      <c r="E153" s="656"/>
      <c r="F153" s="657"/>
      <c r="G153" s="658"/>
      <c r="H153" s="658"/>
    </row>
    <row r="154" spans="1:8">
      <c r="A154" s="693"/>
      <c r="B154" s="653"/>
      <c r="C154" s="242" t="s">
        <v>410</v>
      </c>
      <c r="D154" s="678" t="s">
        <v>399</v>
      </c>
      <c r="E154" s="656">
        <f>'Specifikacija-Racun'!I85</f>
        <v>414.12</v>
      </c>
      <c r="F154" s="657">
        <v>12.8</v>
      </c>
      <c r="G154" s="658"/>
      <c r="H154" s="658"/>
    </row>
    <row r="155" spans="1:8">
      <c r="A155" s="693"/>
      <c r="B155" s="653"/>
      <c r="C155" s="242" t="s">
        <v>136</v>
      </c>
      <c r="D155" s="678"/>
      <c r="E155" s="656"/>
      <c r="F155" s="657"/>
      <c r="G155" s="658"/>
      <c r="H155" s="658"/>
    </row>
    <row r="156" spans="1:8" ht="31.5">
      <c r="A156" s="693" t="s">
        <v>38</v>
      </c>
      <c r="B156" s="653" t="s">
        <v>55</v>
      </c>
      <c r="C156" s="661" t="s">
        <v>1070</v>
      </c>
      <c r="D156" s="678"/>
      <c r="E156" s="656"/>
      <c r="F156" s="657"/>
      <c r="G156" s="658"/>
      <c r="H156" s="658"/>
    </row>
    <row r="157" spans="1:8" ht="63">
      <c r="A157" s="693"/>
      <c r="B157" s="653"/>
      <c r="C157" s="242" t="s">
        <v>1071</v>
      </c>
      <c r="D157" s="678"/>
      <c r="E157" s="656"/>
      <c r="F157" s="657"/>
      <c r="G157" s="658"/>
      <c r="H157" s="658"/>
    </row>
    <row r="158" spans="1:8" ht="63">
      <c r="A158" s="693"/>
      <c r="B158" s="653"/>
      <c r="C158" s="242" t="s">
        <v>1922</v>
      </c>
      <c r="D158" s="678"/>
      <c r="E158" s="656"/>
      <c r="F158" s="657"/>
      <c r="G158" s="658"/>
      <c r="H158" s="658"/>
    </row>
    <row r="159" spans="1:8">
      <c r="A159" s="693"/>
      <c r="B159" s="653"/>
      <c r="D159" s="678"/>
      <c r="E159" s="656"/>
      <c r="F159" s="657"/>
      <c r="G159" s="658"/>
      <c r="H159" s="658"/>
    </row>
    <row r="160" spans="1:8" ht="15.75" customHeight="1">
      <c r="A160" s="693"/>
      <c r="B160" s="653"/>
      <c r="C160" s="242" t="s">
        <v>1072</v>
      </c>
      <c r="D160" s="678"/>
      <c r="E160" s="656"/>
      <c r="F160" s="657"/>
      <c r="G160" s="658"/>
      <c r="H160" s="658"/>
    </row>
    <row r="161" spans="1:8">
      <c r="A161" s="693"/>
      <c r="B161" s="653"/>
      <c r="C161" s="242" t="s">
        <v>1732</v>
      </c>
      <c r="D161" s="678" t="s">
        <v>393</v>
      </c>
      <c r="E161" s="656">
        <f>'Specifikacija-Racun'!I96</f>
        <v>147.85530000000003</v>
      </c>
      <c r="F161" s="657">
        <v>135</v>
      </c>
      <c r="G161" s="658"/>
      <c r="H161" s="658"/>
    </row>
    <row r="162" spans="1:8">
      <c r="A162" s="693"/>
      <c r="B162" s="653"/>
      <c r="C162" s="242" t="s">
        <v>1073</v>
      </c>
      <c r="D162" s="678"/>
      <c r="E162" s="656"/>
      <c r="F162" s="657"/>
      <c r="G162" s="658"/>
      <c r="H162" s="658"/>
    </row>
    <row r="163" spans="1:8">
      <c r="A163" s="693"/>
      <c r="B163" s="653"/>
      <c r="C163" s="242" t="s">
        <v>144</v>
      </c>
      <c r="D163" s="678"/>
      <c r="E163" s="656"/>
      <c r="F163" s="657"/>
      <c r="G163" s="658"/>
      <c r="H163" s="658"/>
    </row>
    <row r="164" spans="1:8">
      <c r="A164" s="653"/>
      <c r="B164" s="653"/>
      <c r="C164" s="661" t="s">
        <v>1043</v>
      </c>
      <c r="D164" s="678"/>
      <c r="E164" s="656"/>
      <c r="F164" s="657"/>
      <c r="G164" s="658"/>
      <c r="H164" s="658"/>
    </row>
    <row r="165" spans="1:8" ht="47.25">
      <c r="A165" s="653"/>
      <c r="B165" s="653"/>
      <c r="C165" s="242" t="s">
        <v>137</v>
      </c>
      <c r="D165" s="678"/>
      <c r="E165" s="656"/>
      <c r="F165" s="657"/>
      <c r="G165" s="658"/>
      <c r="H165" s="658"/>
    </row>
    <row r="166" spans="1:8">
      <c r="A166" s="653"/>
      <c r="B166" s="653"/>
      <c r="C166" s="242" t="s">
        <v>1044</v>
      </c>
      <c r="D166" s="678"/>
      <c r="E166" s="656"/>
      <c r="F166" s="657"/>
      <c r="G166" s="658"/>
      <c r="H166" s="658"/>
    </row>
    <row r="167" spans="1:8" ht="31.5">
      <c r="A167" s="653"/>
      <c r="B167" s="653"/>
      <c r="C167" s="242" t="s">
        <v>138</v>
      </c>
      <c r="D167" s="678"/>
      <c r="E167" s="656"/>
      <c r="F167" s="657"/>
      <c r="G167" s="658"/>
      <c r="H167" s="658"/>
    </row>
    <row r="168" spans="1:8" ht="15.75" customHeight="1">
      <c r="A168" s="653"/>
      <c r="B168" s="653"/>
      <c r="C168" s="661" t="s">
        <v>1394</v>
      </c>
      <c r="D168" s="678"/>
      <c r="E168" s="656"/>
      <c r="F168" s="657"/>
      <c r="G168" s="658"/>
      <c r="H168" s="658"/>
    </row>
    <row r="169" spans="1:8" ht="63">
      <c r="A169" s="653"/>
      <c r="B169" s="653"/>
      <c r="C169" s="242" t="s">
        <v>140</v>
      </c>
      <c r="D169" s="678"/>
      <c r="E169" s="656"/>
      <c r="F169" s="657"/>
      <c r="G169" s="658"/>
      <c r="H169" s="658"/>
    </row>
    <row r="170" spans="1:8">
      <c r="A170" s="653"/>
      <c r="B170" s="653"/>
      <c r="C170" s="242" t="s">
        <v>1044</v>
      </c>
      <c r="D170" s="678"/>
      <c r="E170" s="656"/>
      <c r="F170" s="657"/>
      <c r="G170" s="658"/>
      <c r="H170" s="658"/>
    </row>
    <row r="171" spans="1:8" ht="31.5">
      <c r="A171" s="653"/>
      <c r="B171" s="653"/>
      <c r="C171" s="242" t="s">
        <v>138</v>
      </c>
      <c r="D171" s="678"/>
      <c r="E171" s="656"/>
      <c r="F171" s="657"/>
      <c r="G171" s="658"/>
      <c r="H171" s="658"/>
    </row>
    <row r="172" spans="1:8" ht="15.75" customHeight="1">
      <c r="A172" s="653"/>
      <c r="B172" s="653"/>
      <c r="C172" s="661" t="s">
        <v>1395</v>
      </c>
      <c r="D172" s="678"/>
      <c r="E172" s="656"/>
      <c r="F172" s="657"/>
      <c r="G172" s="658"/>
      <c r="H172" s="658"/>
    </row>
    <row r="173" spans="1:8" ht="47.25">
      <c r="A173" s="653"/>
      <c r="B173" s="653"/>
      <c r="C173" s="242" t="s">
        <v>141</v>
      </c>
      <c r="D173" s="678"/>
      <c r="E173" s="656"/>
      <c r="F173" s="657"/>
      <c r="G173" s="658"/>
      <c r="H173" s="658"/>
    </row>
    <row r="174" spans="1:8">
      <c r="A174" s="653"/>
      <c r="B174" s="653"/>
      <c r="C174" s="242" t="s">
        <v>1044</v>
      </c>
      <c r="D174" s="678"/>
      <c r="E174" s="656"/>
      <c r="F174" s="657"/>
      <c r="G174" s="658"/>
      <c r="H174" s="658"/>
    </row>
    <row r="175" spans="1:8" ht="31.5">
      <c r="A175" s="653"/>
      <c r="B175" s="653"/>
      <c r="C175" s="242" t="s">
        <v>138</v>
      </c>
      <c r="D175" s="678"/>
      <c r="E175" s="656"/>
      <c r="F175" s="657"/>
      <c r="G175" s="658"/>
      <c r="H175" s="658"/>
    </row>
    <row r="176" spans="1:8">
      <c r="A176" s="653"/>
      <c r="B176" s="653"/>
      <c r="C176" s="661" t="s">
        <v>1047</v>
      </c>
      <c r="D176" s="678"/>
      <c r="E176" s="656"/>
      <c r="F176" s="657"/>
      <c r="G176" s="658"/>
      <c r="H176" s="658"/>
    </row>
    <row r="177" spans="1:8" ht="31.5">
      <c r="A177" s="653"/>
      <c r="B177" s="653"/>
      <c r="C177" s="242" t="s">
        <v>139</v>
      </c>
      <c r="D177" s="678"/>
      <c r="E177" s="656"/>
      <c r="F177" s="657"/>
      <c r="G177" s="658"/>
      <c r="H177" s="658"/>
    </row>
    <row r="178" spans="1:8" ht="47.25">
      <c r="A178" s="653" t="s">
        <v>39</v>
      </c>
      <c r="B178" s="653"/>
      <c r="C178" s="661" t="s">
        <v>1074</v>
      </c>
      <c r="D178" s="678"/>
      <c r="E178" s="656"/>
      <c r="F178" s="657"/>
      <c r="G178" s="658"/>
      <c r="H178" s="658"/>
    </row>
    <row r="179" spans="1:8" ht="31.5" customHeight="1">
      <c r="A179" s="653"/>
      <c r="B179" s="653"/>
      <c r="C179" s="242" t="s">
        <v>1075</v>
      </c>
      <c r="D179" s="678"/>
      <c r="E179" s="656"/>
      <c r="F179" s="657"/>
      <c r="G179" s="658"/>
      <c r="H179" s="658"/>
    </row>
    <row r="180" spans="1:8">
      <c r="A180" s="653"/>
      <c r="B180" s="653"/>
      <c r="C180" s="242" t="s">
        <v>1076</v>
      </c>
      <c r="D180" s="678"/>
      <c r="E180" s="656"/>
      <c r="F180" s="657"/>
      <c r="G180" s="658"/>
      <c r="H180" s="658"/>
    </row>
    <row r="181" spans="1:8" ht="47.25">
      <c r="A181" s="653"/>
      <c r="B181" s="653"/>
      <c r="C181" s="242" t="s">
        <v>1731</v>
      </c>
      <c r="D181" s="678"/>
      <c r="E181" s="656"/>
      <c r="F181" s="657"/>
      <c r="G181" s="658"/>
      <c r="H181" s="658"/>
    </row>
    <row r="182" spans="1:8">
      <c r="A182" s="653"/>
      <c r="B182" s="653"/>
      <c r="D182" s="678"/>
      <c r="E182" s="656"/>
      <c r="F182" s="657"/>
      <c r="G182" s="658"/>
      <c r="H182" s="658"/>
    </row>
    <row r="183" spans="1:8">
      <c r="A183" s="653"/>
      <c r="B183" s="653"/>
      <c r="C183" s="242" t="s">
        <v>1732</v>
      </c>
      <c r="D183" s="678" t="s">
        <v>393</v>
      </c>
      <c r="E183" s="656">
        <f>'Specifikacija-Racun'!I102</f>
        <v>11.688000000000001</v>
      </c>
      <c r="F183" s="657">
        <v>135</v>
      </c>
      <c r="G183" s="658"/>
      <c r="H183" s="658"/>
    </row>
    <row r="184" spans="1:8">
      <c r="A184" s="653"/>
      <c r="B184" s="653"/>
      <c r="C184" s="661" t="s">
        <v>1043</v>
      </c>
      <c r="D184" s="678"/>
      <c r="E184" s="656"/>
      <c r="F184" s="657"/>
      <c r="G184" s="658"/>
      <c r="H184" s="658"/>
    </row>
    <row r="185" spans="1:8">
      <c r="A185" s="653"/>
      <c r="B185" s="653"/>
      <c r="C185" s="242" t="s">
        <v>142</v>
      </c>
      <c r="D185" s="678"/>
      <c r="E185" s="656"/>
      <c r="F185" s="657"/>
      <c r="G185" s="658"/>
      <c r="H185" s="658"/>
    </row>
    <row r="186" spans="1:8">
      <c r="A186" s="653"/>
      <c r="B186" s="653"/>
      <c r="C186" s="661" t="s">
        <v>1045</v>
      </c>
      <c r="D186" s="678"/>
      <c r="E186" s="656"/>
      <c r="F186" s="657"/>
      <c r="G186" s="658"/>
      <c r="H186" s="658"/>
    </row>
    <row r="187" spans="1:8">
      <c r="A187" s="653"/>
      <c r="B187" s="653"/>
      <c r="C187" s="242" t="s">
        <v>143</v>
      </c>
      <c r="D187" s="678"/>
      <c r="E187" s="656"/>
      <c r="F187" s="657"/>
      <c r="G187" s="658"/>
      <c r="H187" s="658"/>
    </row>
    <row r="188" spans="1:8">
      <c r="A188" s="653"/>
      <c r="B188" s="653"/>
      <c r="C188" s="661" t="s">
        <v>1046</v>
      </c>
      <c r="D188" s="678"/>
      <c r="E188" s="656"/>
      <c r="F188" s="657"/>
      <c r="G188" s="658"/>
      <c r="H188" s="658"/>
    </row>
    <row r="189" spans="1:8">
      <c r="A189" s="653"/>
      <c r="B189" s="653"/>
      <c r="C189" s="242" t="s">
        <v>143</v>
      </c>
      <c r="D189" s="678"/>
      <c r="E189" s="656"/>
      <c r="F189" s="657"/>
      <c r="G189" s="658"/>
      <c r="H189" s="658"/>
    </row>
    <row r="190" spans="1:8">
      <c r="A190" s="653"/>
      <c r="B190" s="653"/>
      <c r="C190" s="661" t="s">
        <v>1077</v>
      </c>
      <c r="D190" s="678"/>
      <c r="E190" s="656"/>
      <c r="F190" s="657"/>
      <c r="G190" s="658"/>
      <c r="H190" s="658"/>
    </row>
    <row r="191" spans="1:8">
      <c r="A191" s="653"/>
      <c r="B191" s="653"/>
      <c r="C191" s="242" t="s">
        <v>151</v>
      </c>
      <c r="D191" s="678"/>
      <c r="E191" s="656"/>
      <c r="F191" s="657"/>
      <c r="G191" s="658"/>
      <c r="H191" s="658"/>
    </row>
    <row r="192" spans="1:8" ht="31.5">
      <c r="A192" s="653" t="s">
        <v>57</v>
      </c>
      <c r="B192" s="653"/>
      <c r="C192" s="667" t="s">
        <v>1078</v>
      </c>
      <c r="D192" s="678"/>
      <c r="E192" s="656"/>
      <c r="F192" s="657"/>
      <c r="G192" s="658"/>
      <c r="H192" s="658"/>
    </row>
    <row r="193" spans="1:8">
      <c r="A193" s="653"/>
      <c r="B193" s="653"/>
      <c r="C193" s="242" t="s">
        <v>1079</v>
      </c>
      <c r="D193" s="678"/>
      <c r="E193" s="656"/>
      <c r="F193" s="657"/>
      <c r="G193" s="658"/>
      <c r="H193" s="658"/>
    </row>
    <row r="194" spans="1:8" ht="47.25" customHeight="1">
      <c r="A194" s="653"/>
      <c r="B194" s="653"/>
      <c r="C194" s="242" t="s">
        <v>1080</v>
      </c>
      <c r="D194" s="678"/>
      <c r="E194" s="656"/>
      <c r="F194" s="657"/>
      <c r="G194" s="658"/>
      <c r="H194" s="658"/>
    </row>
    <row r="195" spans="1:8" ht="36.75" customHeight="1">
      <c r="A195" s="653"/>
      <c r="B195" s="653"/>
      <c r="C195" s="242" t="s">
        <v>1733</v>
      </c>
      <c r="D195" s="678"/>
      <c r="E195" s="656"/>
      <c r="F195" s="657"/>
      <c r="G195" s="658"/>
      <c r="H195" s="658"/>
    </row>
    <row r="196" spans="1:8">
      <c r="A196" s="653"/>
      <c r="B196" s="653"/>
      <c r="C196" s="242" t="s">
        <v>392</v>
      </c>
      <c r="D196" s="678" t="s">
        <v>393</v>
      </c>
      <c r="E196" s="656">
        <f>'Specifikacija-Racun'!I114</f>
        <v>273.10330000000005</v>
      </c>
      <c r="F196" s="657">
        <v>134</v>
      </c>
      <c r="G196" s="658"/>
      <c r="H196" s="658"/>
    </row>
    <row r="197" spans="1:8">
      <c r="A197" s="653"/>
      <c r="B197" s="653"/>
      <c r="C197" s="661" t="s">
        <v>1043</v>
      </c>
      <c r="D197" s="678"/>
      <c r="E197" s="656"/>
      <c r="F197" s="657"/>
      <c r="G197" s="658"/>
      <c r="H197" s="658"/>
    </row>
    <row r="198" spans="1:8">
      <c r="A198" s="653"/>
      <c r="B198" s="653"/>
      <c r="C198" s="242" t="s">
        <v>145</v>
      </c>
      <c r="D198" s="678"/>
      <c r="E198" s="656"/>
      <c r="F198" s="657"/>
      <c r="G198" s="658"/>
      <c r="H198" s="658"/>
    </row>
    <row r="199" spans="1:8">
      <c r="A199" s="653"/>
      <c r="B199" s="653"/>
      <c r="C199" s="242" t="s">
        <v>1044</v>
      </c>
      <c r="D199" s="678"/>
      <c r="E199" s="656"/>
      <c r="F199" s="657"/>
      <c r="G199" s="658"/>
      <c r="H199" s="658"/>
    </row>
    <row r="200" spans="1:8">
      <c r="A200" s="653"/>
      <c r="B200" s="653"/>
      <c r="C200" s="242" t="s">
        <v>146</v>
      </c>
      <c r="D200" s="678"/>
      <c r="E200" s="656"/>
      <c r="F200" s="657"/>
      <c r="G200" s="658"/>
      <c r="H200" s="658"/>
    </row>
    <row r="201" spans="1:8">
      <c r="A201" s="653"/>
      <c r="B201" s="653"/>
      <c r="C201" s="661" t="s">
        <v>1045</v>
      </c>
      <c r="D201" s="678"/>
      <c r="E201" s="656"/>
      <c r="F201" s="657"/>
      <c r="G201" s="658"/>
      <c r="H201" s="658"/>
    </row>
    <row r="202" spans="1:8">
      <c r="A202" s="653"/>
      <c r="B202" s="653"/>
      <c r="C202" s="242" t="s">
        <v>145</v>
      </c>
      <c r="D202" s="678"/>
      <c r="E202" s="656"/>
      <c r="F202" s="657"/>
      <c r="G202" s="658"/>
      <c r="H202" s="658"/>
    </row>
    <row r="203" spans="1:8">
      <c r="A203" s="653"/>
      <c r="B203" s="653"/>
      <c r="C203" s="242" t="s">
        <v>1044</v>
      </c>
      <c r="D203" s="678"/>
      <c r="E203" s="656"/>
      <c r="F203" s="657"/>
      <c r="G203" s="658"/>
      <c r="H203" s="658"/>
    </row>
    <row r="204" spans="1:8">
      <c r="A204" s="653"/>
      <c r="B204" s="653"/>
      <c r="C204" s="242" t="s">
        <v>146</v>
      </c>
      <c r="D204" s="678"/>
      <c r="E204" s="656"/>
      <c r="F204" s="657"/>
      <c r="G204" s="658"/>
      <c r="H204" s="658"/>
    </row>
    <row r="205" spans="1:8">
      <c r="A205" s="653"/>
      <c r="B205" s="653"/>
      <c r="C205" s="661" t="s">
        <v>1046</v>
      </c>
      <c r="D205" s="678"/>
      <c r="E205" s="656"/>
      <c r="F205" s="657"/>
      <c r="G205" s="658"/>
      <c r="H205" s="658"/>
    </row>
    <row r="206" spans="1:8">
      <c r="A206" s="653"/>
      <c r="B206" s="653"/>
      <c r="C206" s="242" t="s">
        <v>145</v>
      </c>
      <c r="D206" s="678"/>
      <c r="E206" s="656"/>
      <c r="F206" s="657"/>
      <c r="G206" s="658"/>
      <c r="H206" s="658"/>
    </row>
    <row r="207" spans="1:8">
      <c r="A207" s="653"/>
      <c r="B207" s="653"/>
      <c r="C207" s="242" t="s">
        <v>1044</v>
      </c>
      <c r="D207" s="678"/>
      <c r="E207" s="656"/>
      <c r="F207" s="657"/>
      <c r="G207" s="658"/>
      <c r="H207" s="658"/>
    </row>
    <row r="208" spans="1:8">
      <c r="A208" s="653"/>
      <c r="B208" s="653"/>
      <c r="C208" s="242" t="s">
        <v>146</v>
      </c>
      <c r="D208" s="678"/>
      <c r="E208" s="656"/>
      <c r="F208" s="657"/>
      <c r="G208" s="658"/>
      <c r="H208" s="658"/>
    </row>
    <row r="209" spans="1:8">
      <c r="A209" s="653"/>
      <c r="B209" s="653"/>
      <c r="C209" s="242" t="s">
        <v>1047</v>
      </c>
      <c r="D209" s="678"/>
      <c r="E209" s="656"/>
      <c r="F209" s="657"/>
      <c r="G209" s="658"/>
      <c r="H209" s="658"/>
    </row>
    <row r="210" spans="1:8">
      <c r="A210" s="653"/>
      <c r="B210" s="653"/>
      <c r="C210" s="242" t="s">
        <v>170</v>
      </c>
      <c r="D210" s="678"/>
      <c r="E210" s="656"/>
      <c r="F210" s="657"/>
      <c r="G210" s="658"/>
      <c r="H210" s="658"/>
    </row>
    <row r="211" spans="1:8">
      <c r="A211" s="653"/>
      <c r="B211" s="653"/>
      <c r="C211" s="661" t="s">
        <v>1077</v>
      </c>
      <c r="D211" s="678"/>
      <c r="E211" s="656"/>
      <c r="F211" s="657"/>
      <c r="G211" s="658"/>
      <c r="H211" s="658"/>
    </row>
    <row r="212" spans="1:8">
      <c r="A212" s="653"/>
      <c r="B212" s="653"/>
      <c r="C212" s="242" t="s">
        <v>150</v>
      </c>
      <c r="D212" s="678"/>
      <c r="E212" s="656"/>
      <c r="F212" s="657"/>
      <c r="G212" s="658"/>
      <c r="H212" s="658"/>
    </row>
    <row r="213" spans="1:8" ht="35.25" customHeight="1">
      <c r="A213" s="653" t="s">
        <v>58</v>
      </c>
      <c r="B213" s="653"/>
      <c r="C213" s="661" t="s">
        <v>1081</v>
      </c>
      <c r="D213" s="678"/>
      <c r="E213" s="656"/>
      <c r="F213" s="657"/>
      <c r="G213" s="658"/>
      <c r="H213" s="658"/>
    </row>
    <row r="214" spans="1:8" ht="31.5" customHeight="1">
      <c r="A214" s="653"/>
      <c r="B214" s="653"/>
      <c r="C214" s="242" t="s">
        <v>1082</v>
      </c>
      <c r="D214" s="678"/>
      <c r="E214" s="656"/>
      <c r="F214" s="657"/>
      <c r="G214" s="658"/>
      <c r="H214" s="658"/>
    </row>
    <row r="215" spans="1:8" ht="49.5" customHeight="1">
      <c r="A215" s="653"/>
      <c r="B215" s="653"/>
      <c r="C215" s="242" t="s">
        <v>1083</v>
      </c>
      <c r="D215" s="678"/>
      <c r="E215" s="656"/>
      <c r="F215" s="657"/>
      <c r="G215" s="658"/>
      <c r="H215" s="658"/>
    </row>
    <row r="216" spans="1:8" ht="33.75" customHeight="1">
      <c r="A216" s="653"/>
      <c r="B216" s="653"/>
      <c r="C216" s="242" t="s">
        <v>1733</v>
      </c>
      <c r="D216" s="678"/>
      <c r="E216" s="656"/>
      <c r="F216" s="657"/>
      <c r="G216" s="658"/>
      <c r="H216" s="658"/>
    </row>
    <row r="217" spans="1:8" ht="19.5" customHeight="1">
      <c r="A217" s="653"/>
      <c r="B217" s="653"/>
      <c r="C217" s="242" t="s">
        <v>392</v>
      </c>
      <c r="D217" s="678" t="s">
        <v>393</v>
      </c>
      <c r="E217" s="656">
        <f>'Specifikacija-Racun'!I117</f>
        <v>7.2954749999999988</v>
      </c>
      <c r="F217" s="657">
        <v>135</v>
      </c>
      <c r="G217" s="658"/>
      <c r="H217" s="658"/>
    </row>
    <row r="218" spans="1:8" ht="16.5" customHeight="1">
      <c r="A218" s="653"/>
      <c r="B218" s="653"/>
      <c r="C218" s="242" t="s">
        <v>147</v>
      </c>
      <c r="D218" s="678"/>
      <c r="E218" s="656"/>
      <c r="F218" s="657"/>
      <c r="G218" s="658"/>
      <c r="H218" s="658"/>
    </row>
    <row r="219" spans="1:8" ht="31.5">
      <c r="A219" s="653" t="s">
        <v>59</v>
      </c>
      <c r="B219" s="653"/>
      <c r="C219" s="661" t="s">
        <v>1084</v>
      </c>
      <c r="D219" s="678"/>
      <c r="E219" s="656"/>
      <c r="F219" s="657"/>
      <c r="G219" s="658"/>
      <c r="H219" s="658"/>
    </row>
    <row r="220" spans="1:8" ht="34.5" customHeight="1">
      <c r="A220" s="653"/>
      <c r="B220" s="653"/>
      <c r="C220" s="242" t="s">
        <v>1085</v>
      </c>
      <c r="D220" s="678"/>
      <c r="E220" s="656"/>
      <c r="F220" s="657"/>
      <c r="G220" s="658"/>
      <c r="H220" s="658"/>
    </row>
    <row r="221" spans="1:8" ht="36.75" customHeight="1">
      <c r="A221" s="653"/>
      <c r="B221" s="653"/>
      <c r="C221" s="242" t="s">
        <v>1733</v>
      </c>
      <c r="D221" s="678"/>
      <c r="E221" s="656"/>
      <c r="F221" s="657"/>
      <c r="G221" s="658"/>
      <c r="H221" s="658"/>
    </row>
    <row r="222" spans="1:8">
      <c r="A222" s="653"/>
      <c r="B222" s="653"/>
      <c r="C222" s="242" t="s">
        <v>392</v>
      </c>
      <c r="D222" s="678" t="s">
        <v>393</v>
      </c>
      <c r="E222" s="656">
        <f>'Specifikacija-Racun'!I120</f>
        <v>2.4977699999999996</v>
      </c>
      <c r="F222" s="657">
        <v>70.099999999999994</v>
      </c>
      <c r="G222" s="658"/>
      <c r="H222" s="658"/>
    </row>
    <row r="223" spans="1:8">
      <c r="A223" s="653"/>
      <c r="B223" s="653"/>
      <c r="C223" s="242" t="s">
        <v>148</v>
      </c>
      <c r="D223" s="678"/>
      <c r="E223" s="656"/>
      <c r="F223" s="657"/>
      <c r="G223" s="658"/>
      <c r="H223" s="658"/>
    </row>
    <row r="224" spans="1:8" ht="31.5">
      <c r="A224" s="653" t="s">
        <v>61</v>
      </c>
      <c r="B224" s="653"/>
      <c r="C224" s="661" t="s">
        <v>1086</v>
      </c>
      <c r="D224" s="678"/>
      <c r="E224" s="656"/>
      <c r="F224" s="657"/>
      <c r="G224" s="658"/>
      <c r="H224" s="658"/>
    </row>
    <row r="225" spans="1:8" ht="47.25" customHeight="1">
      <c r="A225" s="653"/>
      <c r="B225" s="653"/>
      <c r="C225" s="242" t="s">
        <v>1087</v>
      </c>
      <c r="D225" s="678"/>
      <c r="E225" s="656"/>
      <c r="F225" s="657"/>
      <c r="G225" s="658"/>
      <c r="H225" s="658"/>
    </row>
    <row r="226" spans="1:8" ht="37.5" customHeight="1">
      <c r="A226" s="653"/>
      <c r="B226" s="653"/>
      <c r="C226" s="242" t="s">
        <v>1733</v>
      </c>
      <c r="D226" s="678"/>
      <c r="E226" s="656"/>
      <c r="F226" s="657"/>
      <c r="G226" s="658"/>
      <c r="H226" s="658"/>
    </row>
    <row r="227" spans="1:8">
      <c r="A227" s="653"/>
      <c r="B227" s="653"/>
      <c r="C227" s="242" t="s">
        <v>392</v>
      </c>
      <c r="D227" s="678" t="s">
        <v>393</v>
      </c>
      <c r="E227" s="656">
        <f>'Specifikacija-Racun'!I123</f>
        <v>6.3899999999999988</v>
      </c>
      <c r="F227" s="657">
        <v>134</v>
      </c>
      <c r="G227" s="658"/>
      <c r="H227" s="658"/>
    </row>
    <row r="228" spans="1:8" ht="47.25">
      <c r="A228" s="653"/>
      <c r="B228" s="653"/>
      <c r="C228" s="242" t="s">
        <v>152</v>
      </c>
      <c r="D228" s="678"/>
      <c r="E228" s="656"/>
      <c r="F228" s="657"/>
      <c r="G228" s="658"/>
      <c r="H228" s="658"/>
    </row>
    <row r="229" spans="1:8" ht="47.25">
      <c r="A229" s="653" t="s">
        <v>65</v>
      </c>
      <c r="B229" s="653" t="s">
        <v>56</v>
      </c>
      <c r="C229" s="661" t="s">
        <v>1923</v>
      </c>
      <c r="D229" s="678"/>
      <c r="E229" s="656"/>
      <c r="F229" s="657"/>
      <c r="G229" s="658"/>
      <c r="H229" s="658"/>
    </row>
    <row r="230" spans="1:8" ht="31.5" customHeight="1">
      <c r="A230" s="653"/>
      <c r="B230" s="653"/>
      <c r="C230" s="242" t="s">
        <v>1924</v>
      </c>
      <c r="D230" s="678"/>
      <c r="E230" s="656"/>
      <c r="F230" s="657"/>
      <c r="G230" s="658"/>
      <c r="H230" s="658"/>
    </row>
    <row r="231" spans="1:8" ht="63">
      <c r="A231" s="653"/>
      <c r="B231" s="653"/>
      <c r="C231" s="242" t="s">
        <v>1430</v>
      </c>
      <c r="D231" s="678"/>
      <c r="E231" s="656"/>
      <c r="F231" s="657"/>
      <c r="G231" s="658"/>
      <c r="H231" s="658"/>
    </row>
    <row r="232" spans="1:8" ht="18" customHeight="1">
      <c r="A232" s="653"/>
      <c r="B232" s="653"/>
      <c r="C232" s="242" t="s">
        <v>1431</v>
      </c>
      <c r="D232" s="678"/>
      <c r="E232" s="656"/>
      <c r="F232" s="657"/>
      <c r="G232" s="658"/>
      <c r="H232" s="658"/>
    </row>
    <row r="233" spans="1:8" ht="31.5">
      <c r="A233" s="653"/>
      <c r="B233" s="653"/>
      <c r="C233" s="242" t="s">
        <v>1734</v>
      </c>
      <c r="D233" s="678"/>
      <c r="E233" s="656"/>
      <c r="F233" s="657"/>
      <c r="G233" s="658"/>
      <c r="H233" s="658"/>
    </row>
    <row r="234" spans="1:8" ht="31.5">
      <c r="A234" s="653"/>
      <c r="B234" s="653"/>
      <c r="C234" s="242" t="s">
        <v>455</v>
      </c>
      <c r="D234" s="678"/>
      <c r="E234" s="656"/>
      <c r="F234" s="657"/>
      <c r="G234" s="658"/>
      <c r="H234" s="658"/>
    </row>
    <row r="235" spans="1:8">
      <c r="A235" s="653"/>
      <c r="B235" s="653"/>
      <c r="C235" s="242" t="s">
        <v>410</v>
      </c>
      <c r="D235" s="678" t="s">
        <v>399</v>
      </c>
      <c r="E235" s="656">
        <f>'Specifikacija-Racun'!I129</f>
        <v>1147.6500000000001</v>
      </c>
      <c r="F235" s="657">
        <v>6</v>
      </c>
      <c r="G235" s="658"/>
      <c r="H235" s="658"/>
    </row>
    <row r="236" spans="1:8">
      <c r="A236" s="653"/>
      <c r="B236" s="653"/>
      <c r="C236" s="661" t="s">
        <v>1043</v>
      </c>
      <c r="D236" s="678"/>
      <c r="E236" s="656"/>
      <c r="F236" s="657"/>
      <c r="G236" s="658"/>
      <c r="H236" s="658"/>
    </row>
    <row r="237" spans="1:8" ht="63">
      <c r="A237" s="653"/>
      <c r="B237" s="653"/>
      <c r="C237" s="242" t="s">
        <v>153</v>
      </c>
      <c r="D237" s="678"/>
      <c r="E237" s="656"/>
      <c r="F237" s="657"/>
      <c r="G237" s="658"/>
      <c r="H237" s="658"/>
    </row>
    <row r="238" spans="1:8">
      <c r="A238" s="653"/>
      <c r="B238" s="653"/>
      <c r="C238" s="661" t="s">
        <v>1394</v>
      </c>
      <c r="D238" s="678"/>
      <c r="E238" s="656"/>
      <c r="F238" s="657"/>
      <c r="G238" s="658"/>
      <c r="H238" s="658"/>
    </row>
    <row r="239" spans="1:8" ht="63">
      <c r="A239" s="653"/>
      <c r="B239" s="653"/>
      <c r="C239" s="242" t="s">
        <v>155</v>
      </c>
      <c r="D239" s="678"/>
      <c r="E239" s="656"/>
      <c r="F239" s="657"/>
      <c r="G239" s="658"/>
      <c r="H239" s="658"/>
    </row>
    <row r="240" spans="1:8">
      <c r="A240" s="653"/>
      <c r="B240" s="653"/>
      <c r="C240" s="661" t="s">
        <v>1395</v>
      </c>
      <c r="D240" s="678"/>
      <c r="E240" s="656"/>
      <c r="F240" s="657"/>
      <c r="G240" s="658"/>
      <c r="H240" s="658"/>
    </row>
    <row r="241" spans="1:8" ht="63.75" thickBot="1">
      <c r="A241" s="653"/>
      <c r="B241" s="653"/>
      <c r="C241" s="685" t="s">
        <v>156</v>
      </c>
      <c r="D241" s="691"/>
      <c r="E241" s="673"/>
      <c r="F241" s="687"/>
      <c r="G241" s="688"/>
      <c r="H241" s="688"/>
    </row>
    <row r="242" spans="1:8">
      <c r="A242" s="653"/>
      <c r="B242" s="653"/>
      <c r="C242" s="1021" t="s">
        <v>1088</v>
      </c>
      <c r="D242" s="1021"/>
      <c r="E242" s="1021"/>
      <c r="F242" s="1021"/>
      <c r="G242" s="1021"/>
      <c r="H242" s="752"/>
    </row>
    <row r="243" spans="1:8">
      <c r="A243" s="653"/>
      <c r="B243" s="653"/>
      <c r="C243" s="675"/>
      <c r="D243" s="675"/>
      <c r="E243" s="675"/>
      <c r="F243" s="675"/>
      <c r="G243" s="675"/>
      <c r="H243" s="689"/>
    </row>
    <row r="244" spans="1:8">
      <c r="A244" s="653"/>
      <c r="B244" s="653"/>
      <c r="C244" s="675"/>
      <c r="D244" s="675"/>
      <c r="E244" s="675"/>
      <c r="F244" s="657"/>
      <c r="G244" s="675"/>
      <c r="H244" s="689"/>
    </row>
    <row r="245" spans="1:8">
      <c r="A245" s="690" t="s">
        <v>4</v>
      </c>
      <c r="B245" s="693"/>
      <c r="C245" s="654" t="s">
        <v>1735</v>
      </c>
      <c r="D245" s="675"/>
      <c r="E245" s="675"/>
      <c r="F245" s="657"/>
      <c r="G245" s="675"/>
      <c r="H245" s="689"/>
    </row>
    <row r="246" spans="1:8" ht="31.5">
      <c r="A246" s="653"/>
      <c r="B246" s="653"/>
      <c r="C246" s="696" t="s">
        <v>1736</v>
      </c>
      <c r="D246" s="675"/>
      <c r="E246" s="675"/>
      <c r="F246" s="657"/>
      <c r="G246" s="675"/>
      <c r="H246" s="689"/>
    </row>
    <row r="247" spans="1:8" ht="63">
      <c r="A247" s="653"/>
      <c r="B247" s="653"/>
      <c r="C247" s="696" t="s">
        <v>1737</v>
      </c>
      <c r="D247" s="675"/>
      <c r="E247" s="675"/>
      <c r="F247" s="657"/>
      <c r="G247" s="675"/>
      <c r="H247" s="689"/>
    </row>
    <row r="248" spans="1:8">
      <c r="A248" s="653"/>
      <c r="B248" s="653"/>
      <c r="C248" s="697" t="s">
        <v>1738</v>
      </c>
      <c r="D248" s="675"/>
      <c r="E248" s="675"/>
      <c r="F248" s="657"/>
      <c r="G248" s="675"/>
      <c r="H248" s="689"/>
    </row>
    <row r="249" spans="1:8" ht="31.5">
      <c r="A249" s="653"/>
      <c r="B249" s="653"/>
      <c r="C249" s="698" t="s">
        <v>1739</v>
      </c>
      <c r="D249" s="699" t="s">
        <v>642</v>
      </c>
      <c r="E249" s="700">
        <v>120281</v>
      </c>
      <c r="F249" s="701">
        <v>0.54</v>
      </c>
      <c r="G249" s="702"/>
      <c r="H249" s="702"/>
    </row>
    <row r="250" spans="1:8">
      <c r="A250" s="653"/>
      <c r="B250" s="653"/>
      <c r="C250" s="1021" t="s">
        <v>1740</v>
      </c>
      <c r="D250" s="1021"/>
      <c r="E250" s="1021"/>
      <c r="F250" s="1021"/>
      <c r="G250" s="1021"/>
      <c r="H250" s="752"/>
    </row>
    <row r="251" spans="1:8">
      <c r="A251" s="653"/>
      <c r="B251" s="653"/>
      <c r="C251" s="697"/>
      <c r="D251" s="644"/>
      <c r="E251" s="644"/>
      <c r="F251" s="644"/>
      <c r="G251" s="644"/>
      <c r="H251" s="644"/>
    </row>
    <row r="252" spans="1:8">
      <c r="A252" s="690" t="s">
        <v>5</v>
      </c>
      <c r="B252" s="693"/>
      <c r="C252" s="654" t="s">
        <v>452</v>
      </c>
      <c r="D252" s="678"/>
      <c r="E252" s="656"/>
      <c r="F252" s="657"/>
      <c r="G252" s="658"/>
      <c r="H252" s="658"/>
    </row>
    <row r="253" spans="1:8" ht="47.25" customHeight="1">
      <c r="A253" s="653" t="s">
        <v>41</v>
      </c>
      <c r="B253" s="653"/>
      <c r="C253" s="242" t="s">
        <v>1089</v>
      </c>
      <c r="D253" s="678"/>
      <c r="E253" s="656"/>
      <c r="F253" s="657"/>
      <c r="G253" s="658"/>
      <c r="H253" s="658"/>
    </row>
    <row r="254" spans="1:8" ht="94.5">
      <c r="A254" s="653"/>
      <c r="B254" s="653"/>
      <c r="C254" s="242" t="s">
        <v>454</v>
      </c>
      <c r="D254" s="678"/>
      <c r="E254" s="656"/>
      <c r="F254" s="657"/>
      <c r="G254" s="658"/>
      <c r="H254" s="658"/>
    </row>
    <row r="255" spans="1:8" ht="31.5">
      <c r="A255" s="653"/>
      <c r="B255" s="653"/>
      <c r="C255" s="242" t="s">
        <v>455</v>
      </c>
      <c r="D255" s="678"/>
      <c r="E255" s="656"/>
      <c r="F255" s="657"/>
      <c r="G255" s="658"/>
      <c r="H255" s="658"/>
    </row>
    <row r="256" spans="1:8">
      <c r="A256" s="653"/>
      <c r="B256" s="653"/>
      <c r="C256" s="242" t="s">
        <v>410</v>
      </c>
      <c r="D256" s="678" t="s">
        <v>399</v>
      </c>
      <c r="E256" s="656">
        <f>'Specifikacija-Racun'!I133</f>
        <v>78.34</v>
      </c>
      <c r="F256" s="657">
        <v>4</v>
      </c>
      <c r="G256" s="658"/>
      <c r="H256" s="658"/>
    </row>
    <row r="257" spans="1:8" ht="31.5">
      <c r="A257" s="653"/>
      <c r="B257" s="653"/>
      <c r="C257" s="242" t="s">
        <v>158</v>
      </c>
      <c r="D257" s="678"/>
      <c r="E257" s="656"/>
      <c r="F257" s="657"/>
      <c r="G257" s="658"/>
      <c r="H257" s="658"/>
    </row>
    <row r="258" spans="1:8" ht="47.25">
      <c r="A258" s="653" t="s">
        <v>179</v>
      </c>
      <c r="B258" s="653"/>
      <c r="C258" s="242" t="s">
        <v>1090</v>
      </c>
      <c r="D258" s="678"/>
      <c r="E258" s="656"/>
      <c r="F258" s="657"/>
      <c r="G258" s="658"/>
      <c r="H258" s="658"/>
    </row>
    <row r="259" spans="1:8" ht="94.5">
      <c r="A259" s="653"/>
      <c r="B259" s="653"/>
      <c r="C259" s="242" t="s">
        <v>454</v>
      </c>
      <c r="D259" s="678"/>
      <c r="E259" s="656"/>
      <c r="F259" s="657"/>
      <c r="G259" s="658"/>
      <c r="H259" s="658"/>
    </row>
    <row r="260" spans="1:8" ht="31.5">
      <c r="A260" s="653"/>
      <c r="B260" s="653"/>
      <c r="C260" s="242" t="s">
        <v>455</v>
      </c>
      <c r="D260" s="678"/>
      <c r="E260" s="656"/>
      <c r="F260" s="657"/>
      <c r="G260" s="658"/>
      <c r="H260" s="658"/>
    </row>
    <row r="261" spans="1:8">
      <c r="A261" s="653"/>
      <c r="B261" s="653"/>
      <c r="C261" s="242" t="s">
        <v>410</v>
      </c>
      <c r="D261" s="678" t="s">
        <v>399</v>
      </c>
      <c r="E261" s="656">
        <f>'Specifikacija-Racun'!I136</f>
        <v>139.04</v>
      </c>
      <c r="F261" s="657">
        <v>7</v>
      </c>
      <c r="G261" s="658"/>
      <c r="H261" s="658"/>
    </row>
    <row r="262" spans="1:8" ht="31.5">
      <c r="A262" s="653"/>
      <c r="B262" s="653"/>
      <c r="C262" s="242" t="s">
        <v>159</v>
      </c>
      <c r="D262" s="678"/>
      <c r="E262" s="656"/>
      <c r="F262" s="657"/>
      <c r="G262" s="658"/>
      <c r="H262" s="658"/>
    </row>
    <row r="263" spans="1:8" ht="31.5" customHeight="1">
      <c r="A263" s="653" t="s">
        <v>42</v>
      </c>
      <c r="B263" s="653" t="s">
        <v>60</v>
      </c>
      <c r="C263" s="661" t="s">
        <v>1091</v>
      </c>
      <c r="D263" s="678"/>
      <c r="E263" s="656"/>
      <c r="F263" s="657"/>
      <c r="G263" s="658"/>
      <c r="H263" s="658"/>
    </row>
    <row r="264" spans="1:8" ht="37.5" customHeight="1">
      <c r="A264" s="653"/>
      <c r="B264" s="653"/>
      <c r="C264" s="242" t="s">
        <v>1092</v>
      </c>
      <c r="D264" s="678"/>
      <c r="E264" s="656"/>
      <c r="F264" s="657"/>
      <c r="G264" s="658"/>
      <c r="H264" s="658"/>
    </row>
    <row r="265" spans="1:8" ht="47.25">
      <c r="A265" s="653"/>
      <c r="B265" s="653"/>
      <c r="C265" s="242" t="s">
        <v>1093</v>
      </c>
      <c r="D265" s="678"/>
      <c r="E265" s="656"/>
      <c r="F265" s="657"/>
      <c r="G265" s="658"/>
      <c r="H265" s="658"/>
    </row>
    <row r="266" spans="1:8" ht="37.5" customHeight="1">
      <c r="A266" s="653"/>
      <c r="B266" s="653"/>
      <c r="C266" s="242" t="s">
        <v>1094</v>
      </c>
      <c r="D266" s="678"/>
      <c r="E266" s="656"/>
      <c r="F266" s="657"/>
      <c r="G266" s="658"/>
      <c r="H266" s="658"/>
    </row>
    <row r="267" spans="1:8" ht="63">
      <c r="A267" s="653"/>
      <c r="B267" s="653"/>
      <c r="C267" s="242" t="s">
        <v>1095</v>
      </c>
      <c r="D267" s="678"/>
      <c r="E267" s="656"/>
      <c r="F267" s="657"/>
      <c r="G267" s="658"/>
      <c r="H267" s="658"/>
    </row>
    <row r="268" spans="1:8" ht="94.5">
      <c r="A268" s="653"/>
      <c r="B268" s="653"/>
      <c r="C268" s="242" t="s">
        <v>1096</v>
      </c>
      <c r="D268" s="678"/>
      <c r="E268" s="656"/>
      <c r="F268" s="657"/>
      <c r="G268" s="658"/>
      <c r="H268" s="658"/>
    </row>
    <row r="269" spans="1:8" ht="31.5">
      <c r="A269" s="653"/>
      <c r="B269" s="653"/>
      <c r="C269" s="242" t="s">
        <v>1097</v>
      </c>
      <c r="D269" s="678"/>
      <c r="E269" s="656"/>
      <c r="F269" s="657"/>
      <c r="G269" s="658"/>
      <c r="H269" s="658"/>
    </row>
    <row r="270" spans="1:8" ht="47.25">
      <c r="A270" s="653"/>
      <c r="B270" s="653"/>
      <c r="C270" s="242" t="s">
        <v>458</v>
      </c>
      <c r="D270" s="678"/>
      <c r="E270" s="656"/>
      <c r="F270" s="657"/>
      <c r="G270" s="658"/>
      <c r="H270" s="658"/>
    </row>
    <row r="271" spans="1:8">
      <c r="A271" s="653"/>
      <c r="B271" s="653"/>
      <c r="C271" s="242" t="s">
        <v>1098</v>
      </c>
      <c r="D271" s="678" t="s">
        <v>399</v>
      </c>
      <c r="E271" s="656">
        <f>'Specifikacija-Racun'!I143</f>
        <v>1797.3019999999997</v>
      </c>
      <c r="F271" s="657">
        <v>10</v>
      </c>
      <c r="G271" s="658"/>
      <c r="H271" s="658"/>
    </row>
    <row r="272" spans="1:8">
      <c r="A272" s="653"/>
      <c r="B272" s="653"/>
      <c r="C272" s="661" t="s">
        <v>1073</v>
      </c>
      <c r="D272" s="678"/>
      <c r="E272" s="656"/>
      <c r="F272" s="657"/>
      <c r="G272" s="658"/>
      <c r="H272" s="658"/>
    </row>
    <row r="273" spans="1:8">
      <c r="A273" s="653"/>
      <c r="B273" s="653"/>
      <c r="C273" s="242" t="s">
        <v>162</v>
      </c>
      <c r="D273" s="678"/>
      <c r="E273" s="656"/>
      <c r="F273" s="657"/>
      <c r="G273" s="658"/>
      <c r="H273" s="658"/>
    </row>
    <row r="274" spans="1:8">
      <c r="A274" s="653"/>
      <c r="B274" s="653"/>
      <c r="C274" s="661" t="s">
        <v>1043</v>
      </c>
      <c r="D274" s="678"/>
      <c r="E274" s="656"/>
      <c r="F274" s="657"/>
      <c r="G274" s="658"/>
      <c r="H274" s="658"/>
    </row>
    <row r="275" spans="1:8" ht="47.25">
      <c r="A275" s="653"/>
      <c r="B275" s="653"/>
      <c r="C275" s="242" t="s">
        <v>160</v>
      </c>
      <c r="D275" s="678"/>
      <c r="E275" s="656"/>
      <c r="F275" s="657"/>
      <c r="G275" s="658"/>
      <c r="H275" s="658"/>
    </row>
    <row r="276" spans="1:8">
      <c r="A276" s="653"/>
      <c r="B276" s="653"/>
      <c r="C276" s="661" t="s">
        <v>1394</v>
      </c>
      <c r="D276" s="678"/>
      <c r="E276" s="656"/>
      <c r="F276" s="657"/>
      <c r="G276" s="658"/>
      <c r="H276" s="658"/>
    </row>
    <row r="277" spans="1:8" ht="78.75">
      <c r="A277" s="653"/>
      <c r="B277" s="653"/>
      <c r="C277" s="242" t="s">
        <v>280</v>
      </c>
      <c r="D277" s="678"/>
      <c r="E277" s="656"/>
      <c r="F277" s="657"/>
      <c r="G277" s="658"/>
      <c r="H277" s="658"/>
    </row>
    <row r="278" spans="1:8">
      <c r="A278" s="653"/>
      <c r="B278" s="653"/>
      <c r="C278" s="661" t="s">
        <v>1395</v>
      </c>
      <c r="D278" s="678"/>
      <c r="E278" s="656"/>
      <c r="F278" s="657"/>
      <c r="G278" s="658"/>
      <c r="H278" s="658"/>
    </row>
    <row r="279" spans="1:8" ht="78.75">
      <c r="A279" s="653"/>
      <c r="B279" s="653"/>
      <c r="C279" s="242" t="s">
        <v>280</v>
      </c>
      <c r="D279" s="678"/>
      <c r="E279" s="656"/>
      <c r="F279" s="657"/>
      <c r="G279" s="658"/>
      <c r="H279" s="658"/>
    </row>
    <row r="280" spans="1:8">
      <c r="A280" s="653"/>
      <c r="B280" s="653"/>
      <c r="C280" s="661" t="s">
        <v>1047</v>
      </c>
      <c r="D280" s="678"/>
      <c r="E280" s="656"/>
      <c r="F280" s="657"/>
      <c r="G280" s="658"/>
      <c r="H280" s="658"/>
    </row>
    <row r="281" spans="1:8">
      <c r="A281" s="653"/>
      <c r="B281" s="653"/>
      <c r="C281" s="242" t="s">
        <v>161</v>
      </c>
      <c r="D281" s="678"/>
      <c r="E281" s="656"/>
      <c r="F281" s="657"/>
      <c r="G281" s="658"/>
      <c r="H281" s="658"/>
    </row>
    <row r="282" spans="1:8" ht="47.25" customHeight="1">
      <c r="A282" s="653" t="s">
        <v>43</v>
      </c>
      <c r="B282" s="653" t="s">
        <v>64</v>
      </c>
      <c r="C282" s="661" t="s">
        <v>1099</v>
      </c>
      <c r="D282" s="678"/>
      <c r="E282" s="656"/>
      <c r="F282" s="657"/>
      <c r="G282" s="658"/>
      <c r="H282" s="658"/>
    </row>
    <row r="283" spans="1:8" ht="94.5">
      <c r="A283" s="653"/>
      <c r="B283" s="653"/>
      <c r="C283" s="242" t="s">
        <v>1100</v>
      </c>
      <c r="D283" s="678"/>
      <c r="E283" s="656"/>
      <c r="F283" s="657"/>
      <c r="G283" s="658"/>
      <c r="H283" s="658"/>
    </row>
    <row r="284" spans="1:8" ht="47.25">
      <c r="A284" s="653"/>
      <c r="B284" s="653"/>
      <c r="C284" s="242" t="s">
        <v>458</v>
      </c>
      <c r="D284" s="678"/>
      <c r="E284" s="656"/>
      <c r="F284" s="657"/>
      <c r="G284" s="658"/>
      <c r="H284" s="658"/>
    </row>
    <row r="285" spans="1:8">
      <c r="A285" s="653"/>
      <c r="B285" s="653"/>
      <c r="C285" s="242" t="s">
        <v>410</v>
      </c>
      <c r="D285" s="678" t="s">
        <v>399</v>
      </c>
      <c r="E285" s="656">
        <f>'Specifikacija-Racun'!I145</f>
        <v>57.72</v>
      </c>
      <c r="F285" s="657">
        <v>14</v>
      </c>
      <c r="G285" s="658"/>
      <c r="H285" s="658"/>
    </row>
    <row r="286" spans="1:8">
      <c r="A286" s="653"/>
      <c r="B286" s="653"/>
      <c r="C286" s="242" t="s">
        <v>163</v>
      </c>
      <c r="D286" s="678"/>
      <c r="E286" s="656"/>
      <c r="F286" s="657"/>
      <c r="G286" s="658"/>
      <c r="H286" s="658"/>
    </row>
    <row r="287" spans="1:8" ht="47.25" customHeight="1">
      <c r="A287" s="653" t="s">
        <v>1741</v>
      </c>
      <c r="B287" s="653"/>
      <c r="C287" s="661" t="s">
        <v>456</v>
      </c>
      <c r="D287" s="678"/>
      <c r="E287" s="656"/>
      <c r="F287" s="657"/>
      <c r="G287" s="658"/>
      <c r="H287" s="658"/>
    </row>
    <row r="288" spans="1:8" ht="94.5">
      <c r="A288" s="653"/>
      <c r="B288" s="653"/>
      <c r="C288" s="242" t="s">
        <v>1100</v>
      </c>
      <c r="D288" s="678"/>
      <c r="E288" s="656"/>
      <c r="F288" s="657"/>
      <c r="G288" s="658"/>
      <c r="H288" s="658"/>
    </row>
    <row r="289" spans="1:8" ht="47.25">
      <c r="A289" s="653"/>
      <c r="B289" s="653"/>
      <c r="C289" s="242" t="s">
        <v>458</v>
      </c>
      <c r="D289" s="678"/>
      <c r="E289" s="656"/>
      <c r="F289" s="657"/>
      <c r="G289" s="658"/>
      <c r="H289" s="658"/>
    </row>
    <row r="290" spans="1:8">
      <c r="A290" s="653"/>
      <c r="B290" s="653"/>
      <c r="C290" s="242" t="s">
        <v>459</v>
      </c>
      <c r="D290" s="678" t="s">
        <v>450</v>
      </c>
      <c r="E290" s="656">
        <f>'Specifikacija-Racun'!I147</f>
        <v>18.661499999999997</v>
      </c>
      <c r="F290" s="657">
        <v>2</v>
      </c>
      <c r="G290" s="658"/>
      <c r="H290" s="658"/>
    </row>
    <row r="291" spans="1:8">
      <c r="A291" s="653"/>
      <c r="B291" s="653"/>
      <c r="C291" s="242" t="s">
        <v>164</v>
      </c>
      <c r="D291" s="678"/>
      <c r="E291" s="656"/>
      <c r="F291" s="657"/>
      <c r="G291" s="658"/>
      <c r="H291" s="658"/>
    </row>
    <row r="292" spans="1:8" ht="47.25" customHeight="1">
      <c r="A292" s="653" t="s">
        <v>1742</v>
      </c>
      <c r="B292" s="653"/>
      <c r="C292" s="661" t="s">
        <v>1101</v>
      </c>
      <c r="D292" s="678"/>
      <c r="E292" s="656"/>
      <c r="F292" s="657"/>
      <c r="G292" s="658"/>
      <c r="H292" s="658"/>
    </row>
    <row r="293" spans="1:8" ht="34.5" customHeight="1">
      <c r="A293" s="653"/>
      <c r="B293" s="653"/>
      <c r="C293" s="242" t="s">
        <v>1102</v>
      </c>
      <c r="D293" s="678"/>
      <c r="E293" s="656"/>
      <c r="F293" s="657"/>
      <c r="G293" s="658"/>
      <c r="H293" s="658"/>
    </row>
    <row r="294" spans="1:8" ht="47.25">
      <c r="A294" s="653"/>
      <c r="B294" s="653"/>
      <c r="C294" s="242" t="s">
        <v>1103</v>
      </c>
      <c r="D294" s="678"/>
      <c r="E294" s="656"/>
      <c r="F294" s="657"/>
      <c r="G294" s="658"/>
      <c r="H294" s="658"/>
    </row>
    <row r="295" spans="1:8" ht="32.25" customHeight="1">
      <c r="A295" s="653"/>
      <c r="B295" s="653"/>
      <c r="C295" s="242" t="s">
        <v>1094</v>
      </c>
      <c r="D295" s="678"/>
      <c r="E295" s="656"/>
      <c r="F295" s="657"/>
      <c r="G295" s="658"/>
      <c r="H295" s="658"/>
    </row>
    <row r="296" spans="1:8" ht="94.5">
      <c r="A296" s="653"/>
      <c r="B296" s="653"/>
      <c r="C296" s="242" t="s">
        <v>1096</v>
      </c>
      <c r="D296" s="678"/>
      <c r="E296" s="656"/>
      <c r="F296" s="657"/>
      <c r="G296" s="658"/>
      <c r="H296" s="658"/>
    </row>
    <row r="297" spans="1:8" ht="31.5">
      <c r="A297" s="653"/>
      <c r="B297" s="653"/>
      <c r="C297" s="242" t="s">
        <v>1097</v>
      </c>
      <c r="D297" s="678"/>
      <c r="E297" s="656"/>
      <c r="F297" s="657"/>
      <c r="G297" s="658"/>
      <c r="H297" s="658"/>
    </row>
    <row r="298" spans="1:8" ht="47.25">
      <c r="A298" s="653"/>
      <c r="B298" s="653"/>
      <c r="C298" s="242" t="s">
        <v>458</v>
      </c>
      <c r="D298" s="678"/>
      <c r="E298" s="656"/>
      <c r="F298" s="657"/>
      <c r="G298" s="658"/>
      <c r="H298" s="658"/>
    </row>
    <row r="299" spans="1:8">
      <c r="A299" s="653"/>
      <c r="B299" s="653"/>
      <c r="C299" s="242" t="s">
        <v>410</v>
      </c>
      <c r="D299" s="678" t="s">
        <v>399</v>
      </c>
      <c r="E299" s="656">
        <f>'Specifikacija-Racun'!I153</f>
        <v>167.27999999999997</v>
      </c>
      <c r="F299" s="657">
        <v>15</v>
      </c>
      <c r="G299" s="658"/>
      <c r="H299" s="658"/>
    </row>
    <row r="300" spans="1:8">
      <c r="A300" s="653"/>
      <c r="B300" s="653"/>
      <c r="C300" s="661" t="s">
        <v>1043</v>
      </c>
      <c r="D300" s="678"/>
      <c r="E300" s="656"/>
      <c r="F300" s="657"/>
      <c r="G300" s="658"/>
      <c r="H300" s="658"/>
    </row>
    <row r="301" spans="1:8">
      <c r="A301" s="653"/>
      <c r="B301" s="653"/>
      <c r="C301" s="242" t="s">
        <v>165</v>
      </c>
      <c r="D301" s="678"/>
      <c r="E301" s="656"/>
      <c r="F301" s="657"/>
      <c r="G301" s="658"/>
      <c r="H301" s="658"/>
    </row>
    <row r="302" spans="1:8">
      <c r="A302" s="653"/>
      <c r="B302" s="653"/>
      <c r="C302" s="661" t="s">
        <v>1394</v>
      </c>
      <c r="D302" s="678"/>
      <c r="E302" s="656"/>
      <c r="F302" s="657"/>
      <c r="G302" s="658"/>
      <c r="H302" s="658"/>
    </row>
    <row r="303" spans="1:8">
      <c r="A303" s="653"/>
      <c r="B303" s="653"/>
      <c r="C303" s="242" t="s">
        <v>166</v>
      </c>
      <c r="D303" s="678"/>
      <c r="E303" s="656"/>
      <c r="F303" s="657"/>
      <c r="G303" s="658"/>
      <c r="H303" s="658"/>
    </row>
    <row r="304" spans="1:8">
      <c r="A304" s="653"/>
      <c r="B304" s="653"/>
      <c r="C304" s="661" t="s">
        <v>1395</v>
      </c>
      <c r="D304" s="678"/>
      <c r="E304" s="656"/>
      <c r="F304" s="657"/>
      <c r="G304" s="658"/>
      <c r="H304" s="658"/>
    </row>
    <row r="305" spans="1:8">
      <c r="A305" s="653"/>
      <c r="B305" s="653"/>
      <c r="C305" s="242" t="s">
        <v>166</v>
      </c>
      <c r="D305" s="678"/>
      <c r="E305" s="656"/>
      <c r="F305" s="657"/>
      <c r="G305" s="658"/>
      <c r="H305" s="658"/>
    </row>
    <row r="306" spans="1:8">
      <c r="A306" s="653"/>
      <c r="B306" s="653"/>
      <c r="C306" s="661" t="s">
        <v>1077</v>
      </c>
      <c r="D306" s="678"/>
      <c r="E306" s="656"/>
      <c r="F306" s="657"/>
      <c r="G306" s="658"/>
      <c r="H306" s="658"/>
    </row>
    <row r="307" spans="1:8" ht="31.5">
      <c r="A307" s="653"/>
      <c r="B307" s="653"/>
      <c r="C307" s="242" t="s">
        <v>167</v>
      </c>
      <c r="D307" s="678"/>
      <c r="E307" s="656"/>
      <c r="F307" s="657"/>
      <c r="G307" s="658"/>
      <c r="H307" s="658"/>
    </row>
    <row r="308" spans="1:8" ht="47.25">
      <c r="A308" s="653" t="s">
        <v>1743</v>
      </c>
      <c r="B308" s="653"/>
      <c r="C308" s="661" t="s">
        <v>1104</v>
      </c>
      <c r="D308" s="678"/>
      <c r="E308" s="656"/>
      <c r="F308" s="657"/>
      <c r="G308" s="658"/>
      <c r="H308" s="658"/>
    </row>
    <row r="309" spans="1:8" ht="35.25" customHeight="1">
      <c r="A309" s="653"/>
      <c r="B309" s="653"/>
      <c r="C309" s="242" t="s">
        <v>1102</v>
      </c>
      <c r="D309" s="678"/>
      <c r="E309" s="656"/>
      <c r="F309" s="657"/>
      <c r="G309" s="658"/>
      <c r="H309" s="658"/>
    </row>
    <row r="310" spans="1:8" ht="47.25">
      <c r="A310" s="653"/>
      <c r="B310" s="653"/>
      <c r="C310" s="242" t="s">
        <v>1105</v>
      </c>
      <c r="D310" s="678"/>
      <c r="E310" s="656"/>
      <c r="F310" s="657"/>
      <c r="G310" s="658"/>
      <c r="H310" s="658"/>
    </row>
    <row r="311" spans="1:8" ht="33" customHeight="1">
      <c r="A311" s="653"/>
      <c r="B311" s="653"/>
      <c r="C311" s="242" t="s">
        <v>1094</v>
      </c>
      <c r="D311" s="678"/>
      <c r="E311" s="656"/>
      <c r="F311" s="657"/>
      <c r="G311" s="658"/>
      <c r="H311" s="658"/>
    </row>
    <row r="312" spans="1:8" ht="94.5">
      <c r="A312" s="653"/>
      <c r="B312" s="653"/>
      <c r="C312" s="242" t="s">
        <v>1096</v>
      </c>
      <c r="D312" s="678"/>
      <c r="E312" s="656"/>
      <c r="F312" s="657"/>
      <c r="G312" s="658"/>
      <c r="H312" s="658"/>
    </row>
    <row r="313" spans="1:8" ht="31.5">
      <c r="A313" s="653"/>
      <c r="B313" s="653"/>
      <c r="C313" s="242" t="s">
        <v>1097</v>
      </c>
      <c r="D313" s="678"/>
      <c r="E313" s="656"/>
      <c r="F313" s="657"/>
      <c r="G313" s="658"/>
      <c r="H313" s="658"/>
    </row>
    <row r="314" spans="1:8" ht="47.25">
      <c r="A314" s="653"/>
      <c r="B314" s="653"/>
      <c r="C314" s="242" t="s">
        <v>458</v>
      </c>
      <c r="D314" s="678"/>
      <c r="E314" s="656"/>
      <c r="F314" s="657"/>
      <c r="G314" s="658"/>
      <c r="H314" s="658"/>
    </row>
    <row r="315" spans="1:8">
      <c r="A315" s="653"/>
      <c r="B315" s="653"/>
      <c r="C315" s="242" t="s">
        <v>410</v>
      </c>
      <c r="D315" s="678" t="s">
        <v>399</v>
      </c>
      <c r="E315" s="682">
        <f>'Specifikacija-Racun'!I155</f>
        <v>53.69</v>
      </c>
      <c r="F315" s="681">
        <v>8</v>
      </c>
      <c r="G315" s="682"/>
      <c r="H315" s="682"/>
    </row>
    <row r="316" spans="1:8" ht="86.25" customHeight="1">
      <c r="A316" s="653"/>
      <c r="B316" s="653"/>
      <c r="C316" s="242" t="s">
        <v>168</v>
      </c>
      <c r="D316" s="678"/>
      <c r="E316" s="682"/>
      <c r="F316" s="681"/>
      <c r="G316" s="682"/>
      <c r="H316" s="682"/>
    </row>
    <row r="317" spans="1:8" ht="31.5" customHeight="1">
      <c r="A317" s="653" t="s">
        <v>1744</v>
      </c>
      <c r="B317" s="653"/>
      <c r="C317" s="661" t="s">
        <v>1106</v>
      </c>
      <c r="D317" s="678"/>
      <c r="E317" s="682"/>
      <c r="F317" s="681"/>
      <c r="G317" s="682"/>
      <c r="H317" s="682"/>
    </row>
    <row r="318" spans="1:8" ht="36.75" customHeight="1">
      <c r="A318" s="653"/>
      <c r="B318" s="653"/>
      <c r="C318" s="242" t="s">
        <v>1102</v>
      </c>
      <c r="D318" s="678"/>
      <c r="E318" s="682"/>
      <c r="F318" s="681"/>
      <c r="G318" s="682"/>
      <c r="H318" s="682"/>
    </row>
    <row r="319" spans="1:8" ht="47.25">
      <c r="A319" s="653"/>
      <c r="B319" s="653"/>
      <c r="C319" s="242" t="s">
        <v>1105</v>
      </c>
      <c r="D319" s="678"/>
      <c r="E319" s="682"/>
      <c r="F319" s="681"/>
      <c r="G319" s="682"/>
      <c r="H319" s="682"/>
    </row>
    <row r="320" spans="1:8" ht="33.75" customHeight="1">
      <c r="A320" s="653"/>
      <c r="B320" s="653"/>
      <c r="C320" s="242" t="s">
        <v>1094</v>
      </c>
      <c r="D320" s="678"/>
      <c r="E320" s="682"/>
      <c r="F320" s="681"/>
      <c r="G320" s="682"/>
      <c r="H320" s="682"/>
    </row>
    <row r="321" spans="1:8" ht="94.5">
      <c r="A321" s="653"/>
      <c r="B321" s="653"/>
      <c r="C321" s="242" t="s">
        <v>1096</v>
      </c>
      <c r="D321" s="678"/>
      <c r="E321" s="682"/>
      <c r="F321" s="681"/>
      <c r="G321" s="682"/>
      <c r="H321" s="682"/>
    </row>
    <row r="322" spans="1:8" ht="31.5">
      <c r="A322" s="653"/>
      <c r="B322" s="653"/>
      <c r="C322" s="242" t="s">
        <v>1097</v>
      </c>
      <c r="D322" s="678"/>
      <c r="E322" s="682"/>
      <c r="F322" s="681"/>
      <c r="G322" s="682"/>
      <c r="H322" s="682"/>
    </row>
    <row r="323" spans="1:8" ht="47.25">
      <c r="A323" s="653"/>
      <c r="B323" s="653"/>
      <c r="C323" s="242" t="s">
        <v>458</v>
      </c>
      <c r="D323" s="678"/>
      <c r="E323" s="682"/>
      <c r="F323" s="681"/>
      <c r="G323" s="682"/>
      <c r="H323" s="682"/>
    </row>
    <row r="324" spans="1:8">
      <c r="A324" s="653"/>
      <c r="B324" s="653"/>
      <c r="C324" s="242" t="s">
        <v>410</v>
      </c>
      <c r="D324" s="678" t="s">
        <v>399</v>
      </c>
      <c r="E324" s="682">
        <f>'Specifikacija-Racun'!I166</f>
        <v>1436.6585</v>
      </c>
      <c r="F324" s="681">
        <v>7</v>
      </c>
      <c r="G324" s="682"/>
      <c r="H324" s="682"/>
    </row>
    <row r="325" spans="1:8">
      <c r="A325" s="653"/>
      <c r="B325" s="653"/>
      <c r="C325" s="661" t="s">
        <v>1043</v>
      </c>
      <c r="D325" s="678"/>
      <c r="E325" s="682"/>
      <c r="F325" s="681"/>
      <c r="G325" s="682"/>
      <c r="H325" s="682"/>
    </row>
    <row r="326" spans="1:8" ht="47.25">
      <c r="A326" s="653"/>
      <c r="B326" s="653"/>
      <c r="C326" s="242" t="s">
        <v>171</v>
      </c>
      <c r="D326" s="678"/>
      <c r="E326" s="656"/>
      <c r="F326" s="657"/>
      <c r="G326" s="658"/>
      <c r="H326" s="658"/>
    </row>
    <row r="327" spans="1:8">
      <c r="A327" s="653"/>
      <c r="B327" s="653"/>
      <c r="C327" s="242" t="s">
        <v>1044</v>
      </c>
      <c r="D327" s="678"/>
      <c r="E327" s="656"/>
      <c r="F327" s="657"/>
      <c r="G327" s="658"/>
      <c r="H327" s="658"/>
    </row>
    <row r="328" spans="1:8">
      <c r="A328" s="653"/>
      <c r="B328" s="653"/>
      <c r="C328" s="242" t="s">
        <v>169</v>
      </c>
      <c r="D328" s="678"/>
      <c r="E328" s="656"/>
      <c r="F328" s="657"/>
      <c r="G328" s="658"/>
      <c r="H328" s="658"/>
    </row>
    <row r="329" spans="1:8">
      <c r="A329" s="653"/>
      <c r="B329" s="653"/>
      <c r="C329" s="661" t="s">
        <v>1394</v>
      </c>
      <c r="D329" s="678"/>
      <c r="E329" s="656"/>
      <c r="F329" s="657"/>
      <c r="G329" s="658"/>
      <c r="H329" s="658"/>
    </row>
    <row r="330" spans="1:8" ht="47.25">
      <c r="A330" s="653"/>
      <c r="B330" s="653"/>
      <c r="C330" s="242" t="s">
        <v>171</v>
      </c>
      <c r="D330" s="678"/>
      <c r="E330" s="656"/>
      <c r="F330" s="657"/>
      <c r="G330" s="658"/>
      <c r="H330" s="658"/>
    </row>
    <row r="331" spans="1:8">
      <c r="A331" s="653"/>
      <c r="B331" s="653"/>
      <c r="C331" s="242" t="s">
        <v>1044</v>
      </c>
      <c r="D331" s="678"/>
      <c r="E331" s="656"/>
      <c r="F331" s="657"/>
      <c r="G331" s="658"/>
      <c r="H331" s="658"/>
    </row>
    <row r="332" spans="1:8">
      <c r="A332" s="653"/>
      <c r="B332" s="653"/>
      <c r="C332" s="242" t="s">
        <v>169</v>
      </c>
      <c r="D332" s="678"/>
      <c r="E332" s="656"/>
      <c r="F332" s="657"/>
      <c r="G332" s="658"/>
      <c r="H332" s="658"/>
    </row>
    <row r="333" spans="1:8">
      <c r="A333" s="653"/>
      <c r="B333" s="653"/>
      <c r="C333" s="661" t="s">
        <v>1395</v>
      </c>
      <c r="D333" s="678"/>
      <c r="E333" s="656"/>
      <c r="F333" s="657"/>
      <c r="G333" s="658"/>
      <c r="H333" s="658"/>
    </row>
    <row r="334" spans="1:8" ht="47.25">
      <c r="A334" s="653"/>
      <c r="B334" s="653"/>
      <c r="C334" s="242" t="s">
        <v>171</v>
      </c>
      <c r="D334" s="678"/>
      <c r="E334" s="656"/>
      <c r="F334" s="657"/>
      <c r="G334" s="658"/>
      <c r="H334" s="658"/>
    </row>
    <row r="335" spans="1:8">
      <c r="A335" s="653"/>
      <c r="B335" s="653"/>
      <c r="C335" s="242" t="s">
        <v>1044</v>
      </c>
      <c r="D335" s="678"/>
      <c r="E335" s="656"/>
      <c r="F335" s="657"/>
      <c r="G335" s="658"/>
      <c r="H335" s="658"/>
    </row>
    <row r="336" spans="1:8">
      <c r="A336" s="653"/>
      <c r="B336" s="653"/>
      <c r="C336" s="242" t="s">
        <v>169</v>
      </c>
      <c r="D336" s="678"/>
      <c r="E336" s="656"/>
      <c r="F336" s="657"/>
      <c r="G336" s="658"/>
      <c r="H336" s="658"/>
    </row>
    <row r="337" spans="1:8">
      <c r="A337" s="653"/>
      <c r="B337" s="653"/>
      <c r="C337" s="242" t="s">
        <v>1047</v>
      </c>
      <c r="D337" s="678"/>
      <c r="E337" s="656"/>
      <c r="F337" s="657"/>
      <c r="G337" s="658"/>
      <c r="H337" s="658"/>
    </row>
    <row r="338" spans="1:8">
      <c r="A338" s="653"/>
      <c r="B338" s="653"/>
      <c r="C338" s="242" t="s">
        <v>172</v>
      </c>
      <c r="D338" s="678"/>
      <c r="E338" s="656"/>
      <c r="F338" s="657"/>
      <c r="G338" s="658"/>
      <c r="H338" s="658"/>
    </row>
    <row r="339" spans="1:8">
      <c r="A339" s="653"/>
      <c r="B339" s="653"/>
      <c r="C339" s="661" t="s">
        <v>1077</v>
      </c>
      <c r="D339" s="678"/>
      <c r="E339" s="656"/>
      <c r="F339" s="657"/>
      <c r="G339" s="658"/>
      <c r="H339" s="658"/>
    </row>
    <row r="340" spans="1:8" ht="32.25" thickBot="1">
      <c r="A340" s="653"/>
      <c r="B340" s="653"/>
      <c r="C340" s="685" t="s">
        <v>173</v>
      </c>
      <c r="D340" s="691"/>
      <c r="E340" s="673"/>
      <c r="F340" s="687"/>
      <c r="G340" s="688"/>
      <c r="H340" s="688"/>
    </row>
    <row r="341" spans="1:8">
      <c r="A341" s="653"/>
      <c r="B341" s="653"/>
      <c r="C341" s="1021" t="s">
        <v>460</v>
      </c>
      <c r="D341" s="1021"/>
      <c r="E341" s="1021"/>
      <c r="F341" s="1021"/>
      <c r="G341" s="1021"/>
      <c r="H341" s="752"/>
    </row>
    <row r="342" spans="1:8">
      <c r="A342" s="690" t="s">
        <v>6</v>
      </c>
      <c r="B342" s="693"/>
      <c r="C342" s="654" t="s">
        <v>1107</v>
      </c>
      <c r="D342" s="678"/>
      <c r="E342" s="656"/>
      <c r="F342" s="657"/>
      <c r="G342" s="658"/>
      <c r="H342" s="658"/>
    </row>
    <row r="343" spans="1:8" ht="31.5">
      <c r="A343" s="653" t="s">
        <v>99</v>
      </c>
      <c r="B343" s="653" t="s">
        <v>67</v>
      </c>
      <c r="C343" s="661" t="s">
        <v>1108</v>
      </c>
      <c r="D343" s="678"/>
      <c r="E343" s="656"/>
      <c r="F343" s="657"/>
      <c r="G343" s="658"/>
      <c r="H343" s="658"/>
    </row>
    <row r="344" spans="1:8" ht="47.25">
      <c r="A344" s="653"/>
      <c r="B344" s="653"/>
      <c r="C344" s="242" t="s">
        <v>1109</v>
      </c>
      <c r="D344" s="678"/>
      <c r="E344" s="656"/>
      <c r="F344" s="657"/>
      <c r="G344" s="658"/>
      <c r="H344" s="658"/>
    </row>
    <row r="345" spans="1:8" ht="47.25">
      <c r="A345" s="653"/>
      <c r="B345" s="653"/>
      <c r="C345" s="242" t="s">
        <v>1110</v>
      </c>
      <c r="D345" s="678"/>
      <c r="E345" s="656"/>
      <c r="F345" s="657"/>
      <c r="G345" s="658"/>
      <c r="H345" s="658"/>
    </row>
    <row r="346" spans="1:8" ht="63">
      <c r="A346" s="653"/>
      <c r="B346" s="653"/>
      <c r="C346" s="242" t="s">
        <v>1111</v>
      </c>
      <c r="D346" s="678"/>
      <c r="E346" s="656"/>
      <c r="F346" s="657"/>
      <c r="G346" s="658"/>
      <c r="H346" s="658"/>
    </row>
    <row r="347" spans="1:8" ht="31.5">
      <c r="A347" s="653"/>
      <c r="B347" s="653"/>
      <c r="C347" s="242" t="s">
        <v>1112</v>
      </c>
      <c r="D347" s="678"/>
      <c r="E347" s="656"/>
      <c r="F347" s="657"/>
      <c r="G347" s="658"/>
      <c r="H347" s="658"/>
    </row>
    <row r="348" spans="1:8" ht="31.5">
      <c r="A348" s="653"/>
      <c r="B348" s="653"/>
      <c r="C348" s="242" t="s">
        <v>1113</v>
      </c>
      <c r="D348" s="678"/>
      <c r="E348" s="656"/>
      <c r="F348" s="657"/>
      <c r="G348" s="658"/>
      <c r="H348" s="658"/>
    </row>
    <row r="349" spans="1:8">
      <c r="A349" s="653"/>
      <c r="B349" s="653"/>
      <c r="C349" s="242" t="s">
        <v>410</v>
      </c>
      <c r="D349" s="678" t="s">
        <v>399</v>
      </c>
      <c r="E349" s="682">
        <f>'Specifikacija-Racun'!I170</f>
        <v>489.72600000000006</v>
      </c>
      <c r="F349" s="683">
        <v>10</v>
      </c>
      <c r="G349" s="684"/>
      <c r="H349" s="684"/>
    </row>
    <row r="350" spans="1:8" ht="31.5">
      <c r="A350" s="653"/>
      <c r="B350" s="653"/>
      <c r="C350" s="242" t="s">
        <v>175</v>
      </c>
      <c r="D350" s="678"/>
      <c r="E350" s="656"/>
      <c r="F350" s="657"/>
      <c r="G350" s="658"/>
      <c r="H350" s="658"/>
    </row>
    <row r="351" spans="1:8" ht="63">
      <c r="A351" s="653" t="s">
        <v>100</v>
      </c>
      <c r="B351" s="653" t="s">
        <v>13</v>
      </c>
      <c r="C351" s="661" t="s">
        <v>1396</v>
      </c>
      <c r="D351" s="678"/>
      <c r="E351" s="656"/>
      <c r="F351" s="657"/>
      <c r="G351" s="658"/>
      <c r="H351" s="658"/>
    </row>
    <row r="352" spans="1:8" ht="63">
      <c r="A352" s="653"/>
      <c r="B352" s="653"/>
      <c r="C352" s="242" t="s">
        <v>1114</v>
      </c>
      <c r="D352" s="678"/>
      <c r="E352" s="656"/>
      <c r="F352" s="657"/>
      <c r="G352" s="658"/>
      <c r="H352" s="658"/>
    </row>
    <row r="353" spans="1:8" ht="141.75">
      <c r="A353" s="653"/>
      <c r="B353" s="653"/>
      <c r="C353" s="242" t="s">
        <v>1115</v>
      </c>
      <c r="D353" s="678"/>
      <c r="E353" s="656"/>
      <c r="F353" s="657"/>
      <c r="G353" s="658"/>
      <c r="H353" s="658"/>
    </row>
    <row r="354" spans="1:8" ht="31.5">
      <c r="A354" s="653"/>
      <c r="B354" s="653"/>
      <c r="C354" s="242" t="s">
        <v>1116</v>
      </c>
      <c r="D354" s="678"/>
      <c r="E354" s="656"/>
      <c r="F354" s="657"/>
      <c r="G354" s="658"/>
      <c r="H354" s="658"/>
    </row>
    <row r="355" spans="1:8" ht="31.5">
      <c r="A355" s="653"/>
      <c r="B355" s="653"/>
      <c r="C355" s="242" t="s">
        <v>1117</v>
      </c>
      <c r="D355" s="678"/>
      <c r="E355" s="656"/>
      <c r="F355" s="657"/>
      <c r="G355" s="658"/>
      <c r="H355" s="658"/>
    </row>
    <row r="356" spans="1:8">
      <c r="A356" s="653"/>
      <c r="B356" s="653"/>
      <c r="C356" s="666" t="s">
        <v>410</v>
      </c>
      <c r="D356" s="678" t="s">
        <v>399</v>
      </c>
      <c r="E356" s="656">
        <f>'Specifikacija-Racun'!I174</f>
        <v>95.28649999999999</v>
      </c>
      <c r="F356" s="657">
        <v>6</v>
      </c>
      <c r="G356" s="658"/>
      <c r="H356" s="658"/>
    </row>
    <row r="357" spans="1:8" ht="31.5">
      <c r="A357" s="653"/>
      <c r="B357" s="653"/>
      <c r="C357" s="666" t="s">
        <v>176</v>
      </c>
      <c r="D357" s="678"/>
      <c r="E357" s="656"/>
      <c r="F357" s="657"/>
      <c r="G357" s="658"/>
      <c r="H357" s="658"/>
    </row>
    <row r="358" spans="1:8" ht="31.5">
      <c r="A358" s="653"/>
      <c r="B358" s="653"/>
      <c r="C358" s="666" t="s">
        <v>177</v>
      </c>
      <c r="D358" s="678"/>
      <c r="E358" s="656"/>
      <c r="F358" s="657"/>
      <c r="G358" s="658"/>
      <c r="H358" s="658"/>
    </row>
    <row r="359" spans="1:8" ht="19.5" customHeight="1">
      <c r="A359" s="653"/>
      <c r="B359" s="653"/>
      <c r="C359" s="666" t="s">
        <v>178</v>
      </c>
      <c r="D359" s="678"/>
      <c r="E359" s="656"/>
      <c r="F359" s="657"/>
      <c r="G359" s="658"/>
      <c r="H359" s="658"/>
    </row>
    <row r="360" spans="1:8" ht="63" customHeight="1">
      <c r="A360" s="653" t="s">
        <v>317</v>
      </c>
      <c r="B360" s="653"/>
      <c r="C360" s="667" t="s">
        <v>1118</v>
      </c>
      <c r="D360" s="678"/>
      <c r="E360" s="656"/>
      <c r="F360" s="657"/>
      <c r="G360" s="703"/>
      <c r="H360" s="704"/>
    </row>
    <row r="361" spans="1:8" ht="31.5">
      <c r="A361" s="653"/>
      <c r="B361" s="653"/>
      <c r="C361" s="242" t="s">
        <v>1119</v>
      </c>
      <c r="D361" s="678"/>
      <c r="E361" s="656"/>
      <c r="F361" s="657"/>
      <c r="G361" s="703"/>
      <c r="H361" s="704"/>
    </row>
    <row r="362" spans="1:8" ht="63">
      <c r="A362" s="653"/>
      <c r="B362" s="653"/>
      <c r="C362" s="242" t="s">
        <v>1397</v>
      </c>
      <c r="D362" s="678"/>
      <c r="E362" s="656"/>
      <c r="F362" s="657"/>
      <c r="G362" s="703"/>
      <c r="H362" s="704"/>
    </row>
    <row r="363" spans="1:8" ht="31.5">
      <c r="A363" s="653"/>
      <c r="B363" s="653"/>
      <c r="C363" s="242" t="s">
        <v>1117</v>
      </c>
      <c r="D363" s="678"/>
      <c r="E363" s="656"/>
      <c r="F363" s="657"/>
      <c r="G363" s="703"/>
      <c r="H363" s="704"/>
    </row>
    <row r="364" spans="1:8" ht="78.75">
      <c r="A364" s="653"/>
      <c r="B364" s="653"/>
      <c r="C364" s="242" t="s">
        <v>1915</v>
      </c>
      <c r="D364" s="678"/>
      <c r="E364" s="656"/>
      <c r="F364" s="657"/>
      <c r="G364" s="703"/>
      <c r="H364" s="704"/>
    </row>
    <row r="365" spans="1:8">
      <c r="A365" s="653"/>
      <c r="B365" s="653"/>
      <c r="C365" s="242" t="s">
        <v>410</v>
      </c>
      <c r="D365" s="678" t="s">
        <v>399</v>
      </c>
      <c r="E365" s="656">
        <f>'Specifikacija-Racun'!I176</f>
        <v>411.70499999999998</v>
      </c>
      <c r="F365" s="657">
        <v>52</v>
      </c>
      <c r="G365" s="658"/>
      <c r="H365" s="658"/>
    </row>
    <row r="366" spans="1:8" ht="47.25">
      <c r="A366" s="653"/>
      <c r="B366" s="653"/>
      <c r="C366" s="242" t="s">
        <v>281</v>
      </c>
      <c r="D366" s="678"/>
      <c r="E366" s="656"/>
      <c r="F366" s="657"/>
      <c r="G366" s="658"/>
      <c r="H366" s="658"/>
    </row>
    <row r="367" spans="1:8" ht="49.5" customHeight="1">
      <c r="A367" s="653" t="s">
        <v>318</v>
      </c>
      <c r="B367" s="653"/>
      <c r="C367" s="667" t="s">
        <v>1121</v>
      </c>
      <c r="D367" s="678"/>
      <c r="E367" s="656"/>
      <c r="F367" s="657"/>
      <c r="G367" s="703"/>
      <c r="H367" s="704"/>
    </row>
    <row r="368" spans="1:8" ht="31.5" customHeight="1">
      <c r="A368" s="653"/>
      <c r="B368" s="653"/>
      <c r="C368" s="242" t="s">
        <v>1119</v>
      </c>
      <c r="D368" s="678"/>
      <c r="E368" s="656"/>
      <c r="F368" s="657"/>
      <c r="G368" s="703"/>
      <c r="H368" s="704"/>
    </row>
    <row r="369" spans="1:8" ht="63">
      <c r="A369" s="653"/>
      <c r="B369" s="653"/>
      <c r="C369" s="242" t="s">
        <v>1120</v>
      </c>
      <c r="D369" s="678"/>
      <c r="E369" s="656"/>
      <c r="F369" s="657"/>
      <c r="G369" s="703"/>
      <c r="H369" s="704"/>
    </row>
    <row r="370" spans="1:8" ht="31.5">
      <c r="A370" s="653"/>
      <c r="B370" s="653"/>
      <c r="C370" s="242" t="s">
        <v>1117</v>
      </c>
      <c r="D370" s="678"/>
      <c r="E370" s="656"/>
      <c r="F370" s="657"/>
      <c r="G370" s="703"/>
      <c r="H370" s="704"/>
    </row>
    <row r="371" spans="1:8" ht="78.75">
      <c r="A371" s="653"/>
      <c r="B371" s="653"/>
      <c r="C371" s="242" t="s">
        <v>1916</v>
      </c>
      <c r="D371" s="678"/>
      <c r="E371" s="656"/>
      <c r="F371" s="657"/>
      <c r="G371" s="703"/>
      <c r="H371" s="704"/>
    </row>
    <row r="372" spans="1:8">
      <c r="A372" s="653"/>
      <c r="B372" s="653"/>
      <c r="C372" s="242" t="s">
        <v>410</v>
      </c>
      <c r="D372" s="678" t="s">
        <v>399</v>
      </c>
      <c r="E372" s="656">
        <f>'Specifikacija-Racun'!I180</f>
        <v>817.73649999999998</v>
      </c>
      <c r="F372" s="657">
        <v>8</v>
      </c>
      <c r="G372" s="658"/>
      <c r="H372" s="658"/>
    </row>
    <row r="373" spans="1:8" ht="47.25">
      <c r="A373" s="653"/>
      <c r="B373" s="653"/>
      <c r="C373" s="242" t="s">
        <v>180</v>
      </c>
      <c r="D373" s="678"/>
      <c r="E373" s="656"/>
      <c r="F373" s="657"/>
      <c r="G373" s="658"/>
      <c r="H373" s="658"/>
    </row>
    <row r="374" spans="1:8" ht="32.25" thickBot="1">
      <c r="A374" s="653"/>
      <c r="B374" s="653"/>
      <c r="C374" s="685" t="s">
        <v>181</v>
      </c>
      <c r="D374" s="691"/>
      <c r="E374" s="673"/>
      <c r="F374" s="687"/>
      <c r="G374" s="688"/>
      <c r="H374" s="688"/>
    </row>
    <row r="375" spans="1:8">
      <c r="A375" s="653"/>
      <c r="B375" s="653"/>
      <c r="C375" s="1021" t="s">
        <v>1122</v>
      </c>
      <c r="D375" s="1021"/>
      <c r="E375" s="1021"/>
      <c r="F375" s="1021"/>
      <c r="G375" s="1021"/>
      <c r="H375" s="752"/>
    </row>
    <row r="376" spans="1:8">
      <c r="A376" s="653"/>
      <c r="B376" s="653"/>
      <c r="C376" s="675"/>
      <c r="D376" s="675"/>
      <c r="E376" s="675"/>
      <c r="F376" s="675"/>
      <c r="G376" s="675"/>
      <c r="H376" s="689"/>
    </row>
    <row r="377" spans="1:8">
      <c r="A377" s="692" t="s">
        <v>7</v>
      </c>
      <c r="B377" s="693"/>
      <c r="C377" s="705" t="s">
        <v>1123</v>
      </c>
      <c r="D377" s="678"/>
      <c r="E377" s="656"/>
      <c r="F377" s="657"/>
      <c r="G377" s="658"/>
      <c r="H377" s="658"/>
    </row>
    <row r="378" spans="1:8" ht="31.5">
      <c r="A378" s="653" t="s">
        <v>98</v>
      </c>
      <c r="B378" s="653"/>
      <c r="C378" s="661" t="s">
        <v>1124</v>
      </c>
      <c r="D378" s="678"/>
      <c r="E378" s="656"/>
      <c r="F378" s="657"/>
      <c r="G378" s="703"/>
      <c r="H378" s="704"/>
    </row>
    <row r="379" spans="1:8" ht="97.5" customHeight="1">
      <c r="A379" s="653"/>
      <c r="B379" s="653"/>
      <c r="C379" s="242" t="s">
        <v>1925</v>
      </c>
      <c r="D379" s="678"/>
      <c r="E379" s="656"/>
      <c r="F379" s="657"/>
      <c r="G379" s="703"/>
      <c r="H379" s="704"/>
    </row>
    <row r="380" spans="1:8" ht="35.25" customHeight="1">
      <c r="A380" s="653"/>
      <c r="B380" s="653"/>
      <c r="C380" s="242" t="s">
        <v>1417</v>
      </c>
      <c r="D380" s="678"/>
      <c r="E380" s="656"/>
      <c r="F380" s="657"/>
      <c r="G380" s="703"/>
      <c r="H380" s="704"/>
    </row>
    <row r="381" spans="1:8" ht="78.75">
      <c r="A381" s="653"/>
      <c r="B381" s="653"/>
      <c r="C381" s="242" t="s">
        <v>1926</v>
      </c>
      <c r="D381" s="678"/>
      <c r="E381" s="656"/>
      <c r="F381" s="657"/>
      <c r="G381" s="703"/>
      <c r="H381" s="704"/>
    </row>
    <row r="382" spans="1:8" ht="33" customHeight="1">
      <c r="A382" s="653"/>
      <c r="B382" s="653"/>
      <c r="C382" s="242" t="s">
        <v>1927</v>
      </c>
      <c r="D382" s="678"/>
      <c r="E382" s="656"/>
      <c r="F382" s="657"/>
      <c r="G382" s="703"/>
      <c r="H382" s="704"/>
    </row>
    <row r="383" spans="1:8" ht="63">
      <c r="A383" s="653"/>
      <c r="B383" s="653"/>
      <c r="C383" s="242" t="s">
        <v>1125</v>
      </c>
      <c r="D383" s="678"/>
      <c r="E383" s="656"/>
      <c r="F383" s="657"/>
      <c r="G383" s="703"/>
      <c r="H383" s="704"/>
    </row>
    <row r="384" spans="1:8">
      <c r="A384" s="653"/>
      <c r="B384" s="653"/>
      <c r="C384" s="242" t="s">
        <v>1126</v>
      </c>
      <c r="D384" s="678"/>
      <c r="E384" s="656"/>
      <c r="F384" s="657"/>
      <c r="G384" s="703"/>
      <c r="H384" s="704"/>
    </row>
    <row r="385" spans="1:8">
      <c r="A385" s="706" t="s">
        <v>1127</v>
      </c>
      <c r="B385" s="653"/>
      <c r="C385" s="242" t="s">
        <v>268</v>
      </c>
      <c r="D385" s="678" t="s">
        <v>390</v>
      </c>
      <c r="E385" s="656">
        <v>1</v>
      </c>
      <c r="F385" s="657">
        <v>3100</v>
      </c>
      <c r="G385" s="703"/>
      <c r="H385" s="704"/>
    </row>
    <row r="386" spans="1:8">
      <c r="A386" s="706" t="s">
        <v>1128</v>
      </c>
      <c r="B386" s="653"/>
      <c r="C386" s="242" t="s">
        <v>268</v>
      </c>
      <c r="D386" s="678" t="s">
        <v>390</v>
      </c>
      <c r="E386" s="656">
        <v>1</v>
      </c>
      <c r="F386" s="657">
        <v>3100</v>
      </c>
      <c r="G386" s="703"/>
      <c r="H386" s="704"/>
    </row>
    <row r="387" spans="1:8">
      <c r="A387" s="706" t="s">
        <v>1398</v>
      </c>
      <c r="B387" s="653"/>
      <c r="C387" s="242" t="s">
        <v>267</v>
      </c>
      <c r="D387" s="678" t="s">
        <v>390</v>
      </c>
      <c r="E387" s="656">
        <v>1</v>
      </c>
      <c r="F387" s="657">
        <v>990</v>
      </c>
      <c r="G387" s="703"/>
      <c r="H387" s="704"/>
    </row>
    <row r="388" spans="1:8">
      <c r="A388" s="706" t="s">
        <v>1129</v>
      </c>
      <c r="B388" s="653"/>
      <c r="C388" s="242" t="s">
        <v>267</v>
      </c>
      <c r="D388" s="678" t="s">
        <v>390</v>
      </c>
      <c r="E388" s="656">
        <v>2</v>
      </c>
      <c r="F388" s="657">
        <v>990</v>
      </c>
      <c r="G388" s="703"/>
      <c r="H388" s="704"/>
    </row>
    <row r="389" spans="1:8" ht="51.75" customHeight="1">
      <c r="A389" s="653" t="s">
        <v>113</v>
      </c>
      <c r="B389" s="653"/>
      <c r="C389" s="661" t="s">
        <v>1130</v>
      </c>
      <c r="D389" s="678"/>
      <c r="E389" s="636"/>
      <c r="F389" s="657"/>
      <c r="G389" s="707"/>
      <c r="H389" s="658"/>
    </row>
    <row r="390" spans="1:8" ht="78.75">
      <c r="A390" s="653"/>
      <c r="B390" s="653"/>
      <c r="C390" s="242" t="s">
        <v>1928</v>
      </c>
      <c r="D390" s="678"/>
      <c r="E390" s="636"/>
      <c r="F390" s="657"/>
      <c r="G390" s="707"/>
      <c r="H390" s="658"/>
    </row>
    <row r="391" spans="1:8" ht="47.25">
      <c r="A391" s="653"/>
      <c r="B391" s="653"/>
      <c r="C391" s="242" t="s">
        <v>1424</v>
      </c>
      <c r="D391" s="678"/>
      <c r="E391" s="636"/>
      <c r="F391" s="657"/>
      <c r="G391" s="707"/>
      <c r="H391" s="658"/>
    </row>
    <row r="392" spans="1:8" ht="47.25">
      <c r="A392" s="653"/>
      <c r="B392" s="653"/>
      <c r="C392" s="242" t="s">
        <v>1929</v>
      </c>
      <c r="D392" s="678"/>
      <c r="E392" s="636"/>
      <c r="F392" s="657"/>
      <c r="G392" s="707"/>
      <c r="H392" s="658"/>
    </row>
    <row r="393" spans="1:8" ht="18.75" customHeight="1">
      <c r="A393" s="653"/>
      <c r="B393" s="653"/>
      <c r="C393" s="242" t="s">
        <v>1425</v>
      </c>
      <c r="D393" s="678"/>
      <c r="E393" s="636"/>
      <c r="F393" s="657"/>
      <c r="G393" s="707"/>
      <c r="H393" s="658"/>
    </row>
    <row r="394" spans="1:8" ht="31.5">
      <c r="A394" s="653"/>
      <c r="B394" s="653"/>
      <c r="C394" s="242" t="s">
        <v>1927</v>
      </c>
      <c r="D394" s="678"/>
      <c r="E394" s="636"/>
      <c r="F394" s="657"/>
      <c r="G394" s="707"/>
      <c r="H394" s="658"/>
    </row>
    <row r="395" spans="1:8" ht="94.5">
      <c r="A395" s="653"/>
      <c r="B395" s="653"/>
      <c r="C395" s="242" t="s">
        <v>1131</v>
      </c>
      <c r="D395" s="678"/>
      <c r="E395" s="636"/>
      <c r="F395" s="657"/>
      <c r="G395" s="707"/>
      <c r="H395" s="658"/>
    </row>
    <row r="396" spans="1:8">
      <c r="A396" s="653"/>
      <c r="B396" s="653"/>
      <c r="C396" s="242" t="s">
        <v>389</v>
      </c>
      <c r="D396" s="678"/>
      <c r="E396" s="636"/>
      <c r="F396" s="657"/>
      <c r="G396" s="707"/>
      <c r="H396" s="658"/>
    </row>
    <row r="397" spans="1:8">
      <c r="A397" s="706" t="s">
        <v>1399</v>
      </c>
      <c r="B397" s="653"/>
      <c r="C397" s="242" t="s">
        <v>269</v>
      </c>
      <c r="D397" s="678" t="s">
        <v>390</v>
      </c>
      <c r="E397" s="708">
        <v>5</v>
      </c>
      <c r="F397" s="657">
        <v>5200</v>
      </c>
      <c r="G397" s="703"/>
      <c r="H397" s="704"/>
    </row>
    <row r="398" spans="1:8">
      <c r="A398" s="706" t="s">
        <v>1400</v>
      </c>
      <c r="B398" s="653"/>
      <c r="C398" s="242" t="s">
        <v>270</v>
      </c>
      <c r="D398" s="678" t="s">
        <v>390</v>
      </c>
      <c r="E398" s="708">
        <v>3</v>
      </c>
      <c r="F398" s="657">
        <v>5500</v>
      </c>
      <c r="G398" s="703"/>
      <c r="H398" s="704"/>
    </row>
    <row r="399" spans="1:8">
      <c r="A399" s="706" t="s">
        <v>1401</v>
      </c>
      <c r="B399" s="653"/>
      <c r="C399" s="242" t="s">
        <v>272</v>
      </c>
      <c r="D399" s="678" t="s">
        <v>390</v>
      </c>
      <c r="E399" s="708">
        <v>1</v>
      </c>
      <c r="F399" s="657">
        <v>950</v>
      </c>
      <c r="G399" s="703"/>
      <c r="H399" s="704"/>
    </row>
    <row r="400" spans="1:8">
      <c r="A400" s="706" t="s">
        <v>1402</v>
      </c>
      <c r="B400" s="653"/>
      <c r="C400" s="242" t="s">
        <v>271</v>
      </c>
      <c r="D400" s="678" t="s">
        <v>390</v>
      </c>
      <c r="E400" s="708">
        <v>3</v>
      </c>
      <c r="F400" s="657">
        <v>5500</v>
      </c>
      <c r="G400" s="703"/>
      <c r="H400" s="704"/>
    </row>
    <row r="401" spans="1:8">
      <c r="A401" s="706" t="s">
        <v>1403</v>
      </c>
      <c r="B401" s="653"/>
      <c r="C401" s="242" t="s">
        <v>273</v>
      </c>
      <c r="D401" s="678" t="s">
        <v>390</v>
      </c>
      <c r="E401" s="708">
        <v>1</v>
      </c>
      <c r="F401" s="657">
        <v>750</v>
      </c>
      <c r="G401" s="703"/>
      <c r="H401" s="704"/>
    </row>
    <row r="402" spans="1:8">
      <c r="A402" s="706" t="s">
        <v>1404</v>
      </c>
      <c r="B402" s="653"/>
      <c r="C402" s="666" t="s">
        <v>273</v>
      </c>
      <c r="D402" s="678" t="s">
        <v>390</v>
      </c>
      <c r="E402" s="708">
        <v>1</v>
      </c>
      <c r="F402" s="657">
        <v>750</v>
      </c>
      <c r="G402" s="703"/>
      <c r="H402" s="704"/>
    </row>
    <row r="403" spans="1:8">
      <c r="A403" s="706" t="s">
        <v>1405</v>
      </c>
      <c r="B403" s="653"/>
      <c r="C403" s="666" t="s">
        <v>269</v>
      </c>
      <c r="D403" s="678" t="s">
        <v>390</v>
      </c>
      <c r="E403" s="708">
        <v>1</v>
      </c>
      <c r="F403" s="657">
        <v>5200</v>
      </c>
      <c r="G403" s="703"/>
      <c r="H403" s="704"/>
    </row>
    <row r="404" spans="1:8">
      <c r="A404" s="706" t="s">
        <v>1406</v>
      </c>
      <c r="B404" s="653"/>
      <c r="C404" s="666" t="s">
        <v>274</v>
      </c>
      <c r="D404" s="678" t="s">
        <v>390</v>
      </c>
      <c r="E404" s="708">
        <v>1</v>
      </c>
      <c r="F404" s="657">
        <v>1600</v>
      </c>
      <c r="G404" s="703"/>
      <c r="H404" s="704"/>
    </row>
    <row r="405" spans="1:8">
      <c r="A405" s="655"/>
      <c r="B405" s="653"/>
      <c r="C405" s="666" t="s">
        <v>1077</v>
      </c>
      <c r="D405" s="678"/>
      <c r="E405" s="708"/>
      <c r="F405" s="657"/>
      <c r="G405" s="703"/>
      <c r="H405" s="704"/>
    </row>
    <row r="406" spans="1:8">
      <c r="A406" s="706" t="s">
        <v>1407</v>
      </c>
      <c r="B406" s="653"/>
      <c r="C406" s="666" t="s">
        <v>112</v>
      </c>
      <c r="D406" s="678" t="s">
        <v>390</v>
      </c>
      <c r="E406" s="708">
        <v>1</v>
      </c>
      <c r="F406" s="657">
        <v>12000</v>
      </c>
      <c r="G406" s="703"/>
      <c r="H406" s="704"/>
    </row>
    <row r="407" spans="1:8" ht="16.5" thickBot="1">
      <c r="A407" s="706" t="s">
        <v>1408</v>
      </c>
      <c r="B407" s="653"/>
      <c r="C407" s="670" t="s">
        <v>111</v>
      </c>
      <c r="D407" s="691" t="s">
        <v>390</v>
      </c>
      <c r="E407" s="709">
        <v>1</v>
      </c>
      <c r="F407" s="687">
        <v>4000</v>
      </c>
      <c r="G407" s="710"/>
      <c r="H407" s="711"/>
    </row>
    <row r="408" spans="1:8">
      <c r="A408" s="653"/>
      <c r="B408" s="653"/>
      <c r="C408" s="1021" t="s">
        <v>1132</v>
      </c>
      <c r="D408" s="1021"/>
      <c r="E408" s="1021"/>
      <c r="F408" s="1021"/>
      <c r="G408" s="1021"/>
      <c r="H408" s="753"/>
    </row>
    <row r="409" spans="1:8">
      <c r="A409" s="653"/>
      <c r="B409" s="653"/>
      <c r="C409" s="675"/>
      <c r="D409" s="675"/>
      <c r="E409" s="675"/>
      <c r="F409" s="675"/>
      <c r="G409" s="675"/>
      <c r="H409" s="712"/>
    </row>
    <row r="410" spans="1:8" ht="31.5">
      <c r="A410" s="692" t="s">
        <v>9</v>
      </c>
      <c r="B410" s="693"/>
      <c r="C410" s="705" t="s">
        <v>1373</v>
      </c>
      <c r="D410" s="678"/>
      <c r="E410" s="656"/>
      <c r="F410" s="657"/>
      <c r="G410" s="658"/>
      <c r="H410" s="658"/>
    </row>
    <row r="411" spans="1:8" ht="47.25">
      <c r="A411" s="693" t="s">
        <v>44</v>
      </c>
      <c r="B411" s="693"/>
      <c r="C411" s="661" t="s">
        <v>1133</v>
      </c>
      <c r="D411" s="678"/>
      <c r="E411" s="656"/>
      <c r="F411" s="657"/>
      <c r="G411" s="658"/>
      <c r="H411" s="658"/>
    </row>
    <row r="412" spans="1:8" ht="63">
      <c r="A412" s="690"/>
      <c r="B412" s="693"/>
      <c r="C412" s="242" t="s">
        <v>1134</v>
      </c>
      <c r="D412" s="678"/>
      <c r="E412" s="656"/>
      <c r="F412" s="657"/>
      <c r="G412" s="658"/>
      <c r="H412" s="658"/>
    </row>
    <row r="413" spans="1:8" ht="31.5">
      <c r="A413" s="690"/>
      <c r="B413" s="693"/>
      <c r="C413" s="242" t="s">
        <v>1409</v>
      </c>
      <c r="D413" s="678"/>
      <c r="E413" s="656"/>
      <c r="F413" s="657"/>
      <c r="G413" s="658"/>
      <c r="H413" s="658"/>
    </row>
    <row r="414" spans="1:8" ht="47.25">
      <c r="A414" s="690"/>
      <c r="B414" s="693"/>
      <c r="C414" s="242" t="s">
        <v>1416</v>
      </c>
      <c r="D414" s="678"/>
      <c r="E414" s="656"/>
      <c r="F414" s="657"/>
      <c r="G414" s="658"/>
      <c r="H414" s="658"/>
    </row>
    <row r="415" spans="1:8">
      <c r="A415" s="690"/>
      <c r="B415" s="693"/>
      <c r="C415" s="242" t="s">
        <v>1135</v>
      </c>
      <c r="D415" s="678"/>
      <c r="E415" s="656"/>
      <c r="F415" s="657"/>
      <c r="G415" s="658"/>
      <c r="H415" s="658"/>
    </row>
    <row r="416" spans="1:8" ht="63">
      <c r="A416" s="690"/>
      <c r="B416" s="693"/>
      <c r="C416" s="242" t="s">
        <v>1125</v>
      </c>
      <c r="D416" s="678"/>
      <c r="E416" s="656"/>
      <c r="F416" s="657"/>
      <c r="G416" s="658"/>
      <c r="H416" s="658"/>
    </row>
    <row r="417" spans="1:8">
      <c r="A417" s="706" t="s">
        <v>1136</v>
      </c>
      <c r="B417" s="693"/>
      <c r="C417" s="242" t="s">
        <v>1137</v>
      </c>
      <c r="D417" s="678" t="s">
        <v>390</v>
      </c>
      <c r="E417" s="713">
        <v>30</v>
      </c>
      <c r="F417" s="657">
        <v>155</v>
      </c>
      <c r="G417" s="658"/>
      <c r="H417" s="658"/>
    </row>
    <row r="418" spans="1:8">
      <c r="A418" s="706" t="s">
        <v>1138</v>
      </c>
      <c r="B418" s="693"/>
      <c r="C418" s="242" t="s">
        <v>1139</v>
      </c>
      <c r="D418" s="678" t="s">
        <v>390</v>
      </c>
      <c r="E418" s="713">
        <v>26</v>
      </c>
      <c r="F418" s="657">
        <v>145</v>
      </c>
      <c r="G418" s="658"/>
      <c r="H418" s="658"/>
    </row>
    <row r="419" spans="1:8">
      <c r="A419" s="706" t="s">
        <v>1140</v>
      </c>
      <c r="B419" s="693"/>
      <c r="C419" s="242" t="s">
        <v>1137</v>
      </c>
      <c r="D419" s="678" t="s">
        <v>390</v>
      </c>
      <c r="E419" s="713">
        <v>6</v>
      </c>
      <c r="F419" s="657">
        <v>155</v>
      </c>
      <c r="G419" s="658"/>
      <c r="H419" s="658"/>
    </row>
    <row r="420" spans="1:8" ht="47.25">
      <c r="A420" s="693" t="s">
        <v>266</v>
      </c>
      <c r="B420" s="693"/>
      <c r="C420" s="661" t="s">
        <v>1141</v>
      </c>
      <c r="D420" s="678"/>
      <c r="E420" s="713"/>
      <c r="F420" s="657"/>
      <c r="G420" s="658"/>
      <c r="H420" s="658"/>
    </row>
    <row r="421" spans="1:8" ht="63">
      <c r="A421" s="693"/>
      <c r="B421" s="693"/>
      <c r="C421" s="242" t="s">
        <v>1134</v>
      </c>
      <c r="D421" s="678"/>
      <c r="E421" s="713"/>
      <c r="F421" s="657"/>
      <c r="G421" s="658"/>
      <c r="H421" s="658"/>
    </row>
    <row r="422" spans="1:8" ht="47.25">
      <c r="A422" s="693"/>
      <c r="B422" s="693"/>
      <c r="C422" s="242" t="s">
        <v>1415</v>
      </c>
      <c r="D422" s="678"/>
      <c r="E422" s="713"/>
      <c r="F422" s="657"/>
      <c r="G422" s="658"/>
      <c r="H422" s="658"/>
    </row>
    <row r="423" spans="1:8">
      <c r="A423" s="690"/>
      <c r="B423" s="693"/>
      <c r="C423" s="242" t="s">
        <v>1135</v>
      </c>
      <c r="D423" s="678"/>
      <c r="E423" s="656"/>
      <c r="F423" s="657"/>
      <c r="G423" s="658"/>
      <c r="H423" s="658"/>
    </row>
    <row r="424" spans="1:8" ht="63">
      <c r="A424" s="655"/>
      <c r="B424" s="693"/>
      <c r="C424" s="242" t="s">
        <v>1125</v>
      </c>
      <c r="D424" s="678"/>
      <c r="E424" s="713"/>
      <c r="F424" s="657"/>
      <c r="G424" s="658"/>
      <c r="H424" s="658"/>
    </row>
    <row r="425" spans="1:8">
      <c r="A425" s="706" t="s">
        <v>1142</v>
      </c>
      <c r="B425" s="693"/>
      <c r="C425" s="714" t="s">
        <v>1143</v>
      </c>
      <c r="D425" s="678" t="s">
        <v>390</v>
      </c>
      <c r="E425" s="713">
        <v>8</v>
      </c>
      <c r="F425" s="657">
        <v>225</v>
      </c>
      <c r="G425" s="658"/>
      <c r="H425" s="658"/>
    </row>
    <row r="426" spans="1:8" ht="47.25">
      <c r="A426" s="693" t="s">
        <v>45</v>
      </c>
      <c r="B426" s="693"/>
      <c r="C426" s="661" t="s">
        <v>1144</v>
      </c>
      <c r="D426" s="678"/>
      <c r="E426" s="713"/>
      <c r="F426" s="657"/>
      <c r="G426" s="658"/>
      <c r="H426" s="658"/>
    </row>
    <row r="427" spans="1:8" ht="94.5">
      <c r="A427" s="693"/>
      <c r="B427" s="693"/>
      <c r="C427" s="242" t="s">
        <v>1145</v>
      </c>
      <c r="D427" s="678"/>
      <c r="E427" s="713"/>
      <c r="F427" s="657"/>
      <c r="G427" s="658"/>
      <c r="H427" s="658"/>
    </row>
    <row r="428" spans="1:8" ht="32.25" customHeight="1">
      <c r="A428" s="693"/>
      <c r="B428" s="693"/>
      <c r="C428" s="242" t="s">
        <v>1423</v>
      </c>
      <c r="D428" s="678"/>
      <c r="E428" s="713"/>
      <c r="F428" s="657"/>
      <c r="G428" s="658"/>
      <c r="H428" s="658"/>
    </row>
    <row r="429" spans="1:8" ht="63">
      <c r="A429" s="655"/>
      <c r="B429" s="693"/>
      <c r="C429" s="242" t="s">
        <v>1125</v>
      </c>
      <c r="D429" s="678"/>
      <c r="E429" s="713"/>
      <c r="F429" s="657"/>
      <c r="G429" s="658"/>
      <c r="H429" s="658"/>
    </row>
    <row r="430" spans="1:8">
      <c r="A430" s="706" t="s">
        <v>1146</v>
      </c>
      <c r="B430" s="693"/>
      <c r="C430" s="714" t="s">
        <v>1147</v>
      </c>
      <c r="D430" s="678" t="s">
        <v>390</v>
      </c>
      <c r="E430" s="713">
        <v>6</v>
      </c>
      <c r="F430" s="657">
        <v>270</v>
      </c>
      <c r="G430" s="658"/>
      <c r="H430" s="658"/>
    </row>
    <row r="431" spans="1:8">
      <c r="A431" s="706" t="s">
        <v>1148</v>
      </c>
      <c r="B431" s="693"/>
      <c r="C431" s="714" t="s">
        <v>1149</v>
      </c>
      <c r="D431" s="678" t="s">
        <v>390</v>
      </c>
      <c r="E431" s="713">
        <v>3</v>
      </c>
      <c r="F431" s="657">
        <v>180</v>
      </c>
      <c r="G431" s="658"/>
      <c r="H431" s="658"/>
    </row>
    <row r="432" spans="1:8">
      <c r="A432" s="706" t="s">
        <v>1150</v>
      </c>
      <c r="B432" s="693"/>
      <c r="C432" s="714" t="s">
        <v>1151</v>
      </c>
      <c r="D432" s="678" t="s">
        <v>390</v>
      </c>
      <c r="E432" s="713">
        <v>3</v>
      </c>
      <c r="F432" s="657">
        <v>100</v>
      </c>
      <c r="G432" s="658"/>
      <c r="H432" s="658"/>
    </row>
    <row r="433" spans="1:8" ht="16.5" thickBot="1">
      <c r="A433" s="706" t="s">
        <v>1152</v>
      </c>
      <c r="B433" s="693"/>
      <c r="C433" s="715" t="s">
        <v>1153</v>
      </c>
      <c r="D433" s="691" t="s">
        <v>390</v>
      </c>
      <c r="E433" s="716">
        <v>6</v>
      </c>
      <c r="F433" s="687">
        <v>290</v>
      </c>
      <c r="G433" s="688"/>
      <c r="H433" s="688"/>
    </row>
    <row r="434" spans="1:8">
      <c r="A434" s="655"/>
      <c r="B434" s="693"/>
      <c r="C434" s="1021" t="s">
        <v>1374</v>
      </c>
      <c r="D434" s="1021"/>
      <c r="E434" s="1021"/>
      <c r="F434" s="1021"/>
      <c r="G434" s="1021"/>
      <c r="H434" s="752"/>
    </row>
    <row r="435" spans="1:8">
      <c r="A435" s="655"/>
      <c r="B435" s="693"/>
      <c r="C435" s="675"/>
      <c r="D435" s="675"/>
      <c r="E435" s="675"/>
      <c r="F435" s="675"/>
      <c r="G435" s="675"/>
      <c r="H435" s="689"/>
    </row>
    <row r="436" spans="1:8">
      <c r="A436" s="677" t="s">
        <v>10</v>
      </c>
      <c r="B436" s="653"/>
      <c r="C436" s="717" t="s">
        <v>461</v>
      </c>
      <c r="D436" s="678"/>
      <c r="E436" s="656"/>
      <c r="F436" s="657"/>
      <c r="G436" s="658"/>
      <c r="H436" s="658"/>
    </row>
    <row r="437" spans="1:8" ht="63">
      <c r="A437" s="653" t="s">
        <v>46</v>
      </c>
      <c r="B437" s="653"/>
      <c r="C437" s="661" t="s">
        <v>1154</v>
      </c>
      <c r="D437" s="242"/>
      <c r="E437" s="242"/>
      <c r="F437" s="657"/>
      <c r="G437" s="658"/>
      <c r="H437" s="658"/>
    </row>
    <row r="438" spans="1:8" ht="78.75">
      <c r="A438" s="653"/>
      <c r="B438" s="653"/>
      <c r="C438" s="242" t="s">
        <v>1155</v>
      </c>
      <c r="D438" s="678"/>
      <c r="E438" s="656"/>
      <c r="F438" s="657"/>
      <c r="G438" s="658"/>
      <c r="H438" s="658"/>
    </row>
    <row r="439" spans="1:8" ht="110.25">
      <c r="A439" s="653"/>
      <c r="B439" s="653"/>
      <c r="C439" s="242" t="s">
        <v>1156</v>
      </c>
      <c r="D439" s="678"/>
      <c r="E439" s="656"/>
      <c r="F439" s="657"/>
      <c r="G439" s="658"/>
      <c r="H439" s="658"/>
    </row>
    <row r="440" spans="1:8" ht="78.75">
      <c r="A440" s="653"/>
      <c r="B440" s="653"/>
      <c r="C440" s="242" t="s">
        <v>1157</v>
      </c>
      <c r="D440" s="678"/>
      <c r="E440" s="656"/>
      <c r="F440" s="657"/>
      <c r="G440" s="658"/>
      <c r="H440" s="658"/>
    </row>
    <row r="441" spans="1:8" ht="63">
      <c r="A441" s="653"/>
      <c r="B441" s="653"/>
      <c r="C441" s="242" t="s">
        <v>466</v>
      </c>
      <c r="D441" s="678"/>
      <c r="E441" s="656"/>
      <c r="F441" s="657"/>
      <c r="G441" s="658"/>
      <c r="H441" s="658"/>
    </row>
    <row r="442" spans="1:8" ht="47.25">
      <c r="A442" s="653"/>
      <c r="B442" s="653"/>
      <c r="C442" s="242" t="s">
        <v>1158</v>
      </c>
      <c r="D442" s="678"/>
      <c r="E442" s="656"/>
      <c r="F442" s="657"/>
      <c r="G442" s="658"/>
      <c r="H442" s="658"/>
    </row>
    <row r="443" spans="1:8" ht="47.25">
      <c r="A443" s="653"/>
      <c r="B443" s="653"/>
      <c r="C443" s="242" t="s">
        <v>1159</v>
      </c>
      <c r="D443" s="678"/>
      <c r="E443" s="656"/>
      <c r="F443" s="657"/>
      <c r="G443" s="658"/>
      <c r="H443" s="658"/>
    </row>
    <row r="444" spans="1:8">
      <c r="A444" s="653"/>
      <c r="B444" s="653"/>
      <c r="C444" s="242" t="s">
        <v>1160</v>
      </c>
      <c r="D444" s="678" t="s">
        <v>642</v>
      </c>
      <c r="E444" s="656">
        <v>10250</v>
      </c>
      <c r="F444" s="657">
        <v>3.25</v>
      </c>
      <c r="G444" s="658"/>
      <c r="H444" s="658"/>
    </row>
    <row r="445" spans="1:8" s="695" customFormat="1" ht="47.25">
      <c r="A445" s="653" t="s">
        <v>187</v>
      </c>
      <c r="B445" s="653"/>
      <c r="C445" s="661" t="s">
        <v>1161</v>
      </c>
      <c r="D445" s="678"/>
      <c r="E445" s="656"/>
      <c r="F445" s="657"/>
      <c r="G445" s="658"/>
      <c r="H445" s="658"/>
    </row>
    <row r="446" spans="1:8" s="695" customFormat="1" ht="78.75">
      <c r="A446" s="653"/>
      <c r="B446" s="653"/>
      <c r="C446" s="242" t="s">
        <v>1162</v>
      </c>
      <c r="D446" s="678"/>
      <c r="E446" s="656"/>
      <c r="F446" s="657"/>
      <c r="G446" s="658"/>
      <c r="H446" s="658"/>
    </row>
    <row r="447" spans="1:8" s="695" customFormat="1" ht="94.5">
      <c r="A447" s="653"/>
      <c r="B447" s="653"/>
      <c r="C447" s="242" t="s">
        <v>1410</v>
      </c>
      <c r="D447" s="678"/>
      <c r="E447" s="656"/>
      <c r="F447" s="657"/>
      <c r="G447" s="658"/>
      <c r="H447" s="658"/>
    </row>
    <row r="448" spans="1:8" s="695" customFormat="1">
      <c r="A448" s="653"/>
      <c r="B448" s="653"/>
      <c r="C448" s="242" t="s">
        <v>1426</v>
      </c>
      <c r="D448" s="678"/>
      <c r="E448" s="656"/>
      <c r="F448" s="657"/>
      <c r="G448" s="658"/>
      <c r="H448" s="658"/>
    </row>
    <row r="449" spans="1:8" s="695" customFormat="1" ht="21.75" customHeight="1">
      <c r="A449" s="653"/>
      <c r="B449" s="653"/>
      <c r="C449" s="242" t="s">
        <v>1411</v>
      </c>
      <c r="D449" s="678"/>
      <c r="E449" s="656"/>
      <c r="F449" s="657"/>
      <c r="G449" s="658"/>
      <c r="H449" s="658"/>
    </row>
    <row r="450" spans="1:8" s="695" customFormat="1" ht="63">
      <c r="A450" s="653"/>
      <c r="B450" s="653"/>
      <c r="C450" s="242" t="s">
        <v>1164</v>
      </c>
      <c r="D450" s="678"/>
      <c r="E450" s="656"/>
      <c r="F450" s="657"/>
      <c r="G450" s="658"/>
      <c r="H450" s="658"/>
    </row>
    <row r="451" spans="1:8" s="695" customFormat="1">
      <c r="A451" s="706" t="s">
        <v>1165</v>
      </c>
      <c r="B451" s="653"/>
      <c r="C451" s="242" t="s">
        <v>1166</v>
      </c>
      <c r="D451" s="678" t="s">
        <v>390</v>
      </c>
      <c r="E451" s="656">
        <v>4</v>
      </c>
      <c r="F451" s="657">
        <v>730</v>
      </c>
      <c r="G451" s="658"/>
      <c r="H451" s="658"/>
    </row>
    <row r="452" spans="1:8" s="695" customFormat="1">
      <c r="A452" s="706" t="s">
        <v>1167</v>
      </c>
      <c r="B452" s="653"/>
      <c r="C452" s="242" t="s">
        <v>1168</v>
      </c>
      <c r="D452" s="678" t="s">
        <v>390</v>
      </c>
      <c r="E452" s="656">
        <v>4</v>
      </c>
      <c r="F452" s="657">
        <v>710</v>
      </c>
      <c r="G452" s="658"/>
      <c r="H452" s="658"/>
    </row>
    <row r="453" spans="1:8" s="695" customFormat="1" ht="47.25">
      <c r="A453" s="653" t="s">
        <v>71</v>
      </c>
      <c r="B453" s="677"/>
      <c r="C453" s="661" t="s">
        <v>1169</v>
      </c>
      <c r="D453" s="678"/>
      <c r="E453" s="656"/>
      <c r="F453" s="657"/>
      <c r="G453" s="658"/>
      <c r="H453" s="658"/>
    </row>
    <row r="454" spans="1:8" s="695" customFormat="1" ht="78.75">
      <c r="A454" s="653"/>
      <c r="B454" s="653"/>
      <c r="C454" s="242" t="s">
        <v>1162</v>
      </c>
      <c r="D454" s="678"/>
      <c r="E454" s="656"/>
      <c r="F454" s="657"/>
      <c r="G454" s="658"/>
      <c r="H454" s="658"/>
    </row>
    <row r="455" spans="1:8" s="695" customFormat="1" ht="94.5">
      <c r="A455" s="653"/>
      <c r="B455" s="653"/>
      <c r="C455" s="242" t="s">
        <v>1163</v>
      </c>
      <c r="D455" s="678"/>
      <c r="E455" s="656"/>
      <c r="F455" s="657"/>
      <c r="G455" s="658"/>
      <c r="H455" s="658"/>
    </row>
    <row r="456" spans="1:8" s="695" customFormat="1">
      <c r="A456" s="653"/>
      <c r="B456" s="653"/>
      <c r="C456" s="242" t="s">
        <v>1426</v>
      </c>
      <c r="D456" s="678"/>
      <c r="E456" s="656"/>
      <c r="F456" s="657"/>
      <c r="G456" s="658"/>
      <c r="H456" s="658"/>
    </row>
    <row r="457" spans="1:8" s="695" customFormat="1" ht="21" customHeight="1">
      <c r="A457" s="653"/>
      <c r="B457" s="653"/>
      <c r="C457" s="242" t="s">
        <v>1411</v>
      </c>
      <c r="D457" s="678"/>
      <c r="E457" s="656"/>
      <c r="F457" s="657"/>
      <c r="G457" s="658"/>
      <c r="H457" s="658"/>
    </row>
    <row r="458" spans="1:8" s="695" customFormat="1" ht="63">
      <c r="A458" s="653"/>
      <c r="B458" s="653"/>
      <c r="C458" s="242" t="s">
        <v>1164</v>
      </c>
      <c r="D458" s="678"/>
      <c r="E458" s="656"/>
      <c r="F458" s="657"/>
      <c r="G458" s="658"/>
      <c r="H458" s="658"/>
    </row>
    <row r="459" spans="1:8" s="695" customFormat="1">
      <c r="A459" s="706" t="s">
        <v>1170</v>
      </c>
      <c r="B459" s="653"/>
      <c r="C459" s="242" t="s">
        <v>1171</v>
      </c>
      <c r="D459" s="678" t="s">
        <v>390</v>
      </c>
      <c r="E459" s="656">
        <v>6</v>
      </c>
      <c r="F459" s="657">
        <v>1050</v>
      </c>
      <c r="G459" s="658"/>
      <c r="H459" s="658"/>
    </row>
    <row r="460" spans="1:8" s="695" customFormat="1" ht="31.5">
      <c r="A460" s="653" t="s">
        <v>72</v>
      </c>
      <c r="B460" s="653"/>
      <c r="C460" s="661" t="s">
        <v>1412</v>
      </c>
      <c r="D460" s="678"/>
      <c r="E460" s="656"/>
      <c r="F460" s="657"/>
      <c r="G460" s="658"/>
      <c r="H460" s="658"/>
    </row>
    <row r="461" spans="1:8" s="695" customFormat="1" ht="110.25">
      <c r="A461" s="653"/>
      <c r="B461" s="653"/>
      <c r="C461" s="242" t="s">
        <v>1172</v>
      </c>
      <c r="D461" s="678"/>
      <c r="E461" s="656"/>
      <c r="F461" s="657"/>
      <c r="G461" s="658"/>
      <c r="H461" s="658"/>
    </row>
    <row r="462" spans="1:8" s="695" customFormat="1" ht="94.5">
      <c r="A462" s="653"/>
      <c r="B462" s="653"/>
      <c r="C462" s="242" t="s">
        <v>1414</v>
      </c>
      <c r="D462" s="678"/>
      <c r="E462" s="656"/>
      <c r="F462" s="657"/>
      <c r="G462" s="658"/>
      <c r="H462" s="658"/>
    </row>
    <row r="463" spans="1:8" s="695" customFormat="1">
      <c r="A463" s="653"/>
      <c r="B463" s="653"/>
      <c r="C463" s="242" t="s">
        <v>1426</v>
      </c>
      <c r="D463" s="678"/>
      <c r="E463" s="656"/>
      <c r="F463" s="657"/>
      <c r="G463" s="658"/>
      <c r="H463" s="658"/>
    </row>
    <row r="464" spans="1:8" s="695" customFormat="1" ht="18.75" customHeight="1">
      <c r="A464" s="653"/>
      <c r="B464" s="653"/>
      <c r="C464" s="242" t="s">
        <v>1411</v>
      </c>
      <c r="D464" s="678"/>
      <c r="E464" s="656"/>
      <c r="F464" s="657"/>
      <c r="G464" s="658"/>
      <c r="H464" s="658"/>
    </row>
    <row r="465" spans="1:8" s="695" customFormat="1" ht="63">
      <c r="A465" s="653"/>
      <c r="B465" s="653"/>
      <c r="C465" s="242" t="s">
        <v>1164</v>
      </c>
      <c r="D465" s="678"/>
      <c r="E465" s="656"/>
      <c r="F465" s="657"/>
      <c r="G465" s="658"/>
      <c r="H465" s="658"/>
    </row>
    <row r="466" spans="1:8" s="695" customFormat="1">
      <c r="A466" s="706" t="s">
        <v>1173</v>
      </c>
      <c r="B466" s="653"/>
      <c r="C466" s="242" t="s">
        <v>1166</v>
      </c>
      <c r="D466" s="678" t="s">
        <v>390</v>
      </c>
      <c r="E466" s="656">
        <v>8</v>
      </c>
      <c r="F466" s="657">
        <v>410</v>
      </c>
      <c r="G466" s="658"/>
      <c r="H466" s="658"/>
    </row>
    <row r="467" spans="1:8" s="695" customFormat="1">
      <c r="A467" s="706" t="s">
        <v>1174</v>
      </c>
      <c r="B467" s="653"/>
      <c r="C467" s="242" t="s">
        <v>1168</v>
      </c>
      <c r="D467" s="678" t="s">
        <v>390</v>
      </c>
      <c r="E467" s="656">
        <v>6</v>
      </c>
      <c r="F467" s="657">
        <v>400</v>
      </c>
      <c r="G467" s="658"/>
      <c r="H467" s="658"/>
    </row>
    <row r="468" spans="1:8" s="695" customFormat="1" ht="31.5">
      <c r="A468" s="653" t="s">
        <v>73</v>
      </c>
      <c r="B468" s="653"/>
      <c r="C468" s="661" t="s">
        <v>1175</v>
      </c>
      <c r="D468" s="678"/>
      <c r="E468" s="656"/>
      <c r="F468" s="657"/>
      <c r="G468" s="658"/>
      <c r="H468" s="658"/>
    </row>
    <row r="469" spans="1:8" s="695" customFormat="1" ht="63">
      <c r="A469" s="653"/>
      <c r="B469" s="653"/>
      <c r="C469" s="242" t="s">
        <v>1176</v>
      </c>
      <c r="D469" s="678"/>
      <c r="E469" s="656"/>
      <c r="F469" s="657"/>
      <c r="G469" s="658"/>
      <c r="H469" s="658"/>
    </row>
    <row r="470" spans="1:8" s="695" customFormat="1" ht="116.25" customHeight="1">
      <c r="A470" s="653"/>
      <c r="B470" s="653"/>
      <c r="C470" s="242" t="s">
        <v>1413</v>
      </c>
      <c r="D470" s="678"/>
      <c r="E470" s="656"/>
      <c r="F470" s="657"/>
      <c r="G470" s="658"/>
      <c r="H470" s="658"/>
    </row>
    <row r="471" spans="1:8" s="695" customFormat="1" ht="63">
      <c r="A471" s="653"/>
      <c r="B471" s="653"/>
      <c r="C471" s="242" t="s">
        <v>1164</v>
      </c>
      <c r="D471" s="678"/>
      <c r="E471" s="656"/>
      <c r="F471" s="657"/>
      <c r="G471" s="658"/>
      <c r="H471" s="658"/>
    </row>
    <row r="472" spans="1:8" s="695" customFormat="1">
      <c r="A472" s="706" t="s">
        <v>1177</v>
      </c>
      <c r="B472" s="653"/>
      <c r="C472" s="242" t="s">
        <v>1168</v>
      </c>
      <c r="D472" s="678" t="s">
        <v>390</v>
      </c>
      <c r="E472" s="656">
        <v>3</v>
      </c>
      <c r="F472" s="657">
        <v>150</v>
      </c>
      <c r="G472" s="658"/>
      <c r="H472" s="658"/>
    </row>
    <row r="473" spans="1:8" s="695" customFormat="1" ht="31.5">
      <c r="A473" s="653" t="s">
        <v>191</v>
      </c>
      <c r="B473" s="653"/>
      <c r="C473" s="661" t="s">
        <v>1178</v>
      </c>
      <c r="D473" s="678"/>
      <c r="E473" s="708"/>
      <c r="F473" s="657"/>
      <c r="G473" s="703"/>
      <c r="H473" s="704"/>
    </row>
    <row r="474" spans="1:8" s="695" customFormat="1" ht="63">
      <c r="A474" s="653"/>
      <c r="B474" s="653"/>
      <c r="C474" s="242" t="s">
        <v>1179</v>
      </c>
      <c r="D474" s="678"/>
      <c r="E474" s="708"/>
      <c r="F474" s="657"/>
      <c r="G474" s="703"/>
      <c r="H474" s="704"/>
    </row>
    <row r="475" spans="1:8" s="695" customFormat="1" ht="78.75">
      <c r="A475" s="653"/>
      <c r="B475" s="653"/>
      <c r="C475" s="242" t="s">
        <v>1180</v>
      </c>
      <c r="D475" s="678"/>
      <c r="E475" s="708"/>
      <c r="F475" s="657"/>
      <c r="G475" s="703"/>
      <c r="H475" s="704"/>
    </row>
    <row r="476" spans="1:8" s="695" customFormat="1" ht="68.25" customHeight="1">
      <c r="A476" s="653"/>
      <c r="B476" s="653"/>
      <c r="C476" s="242" t="s">
        <v>1181</v>
      </c>
      <c r="D476" s="678"/>
      <c r="E476" s="708"/>
      <c r="F476" s="657"/>
      <c r="G476" s="703"/>
      <c r="H476" s="704"/>
    </row>
    <row r="477" spans="1:8" s="695" customFormat="1">
      <c r="A477" s="653"/>
      <c r="B477" s="653"/>
      <c r="C477" s="242" t="s">
        <v>389</v>
      </c>
      <c r="D477" s="678"/>
      <c r="E477" s="708"/>
      <c r="F477" s="657"/>
      <c r="G477" s="703"/>
      <c r="H477" s="704"/>
    </row>
    <row r="478" spans="1:8" s="695" customFormat="1">
      <c r="A478" s="706" t="s">
        <v>1182</v>
      </c>
      <c r="B478" s="653"/>
      <c r="C478" s="666" t="s">
        <v>114</v>
      </c>
      <c r="D478" s="678" t="s">
        <v>390</v>
      </c>
      <c r="E478" s="708">
        <v>1</v>
      </c>
      <c r="F478" s="657">
        <v>1050</v>
      </c>
      <c r="G478" s="658"/>
      <c r="H478" s="658"/>
    </row>
    <row r="479" spans="1:8" s="695" customFormat="1" ht="31.5">
      <c r="A479" s="693" t="s">
        <v>1745</v>
      </c>
      <c r="B479" s="653"/>
      <c r="C479" s="661" t="s">
        <v>1183</v>
      </c>
      <c r="D479" s="678"/>
      <c r="E479" s="656"/>
      <c r="F479" s="657"/>
      <c r="G479" s="658"/>
      <c r="H479" s="658"/>
    </row>
    <row r="480" spans="1:8" s="695" customFormat="1" ht="110.25">
      <c r="A480" s="655"/>
      <c r="B480" s="653"/>
      <c r="C480" s="242" t="s">
        <v>1427</v>
      </c>
      <c r="D480" s="678"/>
      <c r="E480" s="656"/>
      <c r="F480" s="657"/>
      <c r="G480" s="658"/>
      <c r="H480" s="658"/>
    </row>
    <row r="481" spans="1:8" s="695" customFormat="1" ht="31.5">
      <c r="A481" s="655"/>
      <c r="B481" s="653"/>
      <c r="C481" s="242" t="s">
        <v>1184</v>
      </c>
      <c r="D481" s="678"/>
      <c r="E481" s="656"/>
      <c r="F481" s="657"/>
      <c r="G481" s="658"/>
      <c r="H481" s="658"/>
    </row>
    <row r="482" spans="1:8" s="695" customFormat="1" ht="71.25" customHeight="1">
      <c r="A482" s="655"/>
      <c r="B482" s="653"/>
      <c r="C482" s="242" t="s">
        <v>1181</v>
      </c>
      <c r="D482" s="678"/>
      <c r="E482" s="656"/>
      <c r="F482" s="657"/>
      <c r="G482" s="658"/>
      <c r="H482" s="658"/>
    </row>
    <row r="483" spans="1:8" s="695" customFormat="1">
      <c r="A483" s="655"/>
      <c r="B483" s="653"/>
      <c r="C483" s="242" t="s">
        <v>389</v>
      </c>
      <c r="D483" s="678"/>
      <c r="E483" s="656"/>
      <c r="F483" s="657"/>
      <c r="G483" s="658"/>
      <c r="H483" s="658"/>
    </row>
    <row r="484" spans="1:8" s="695" customFormat="1">
      <c r="A484" s="655" t="s">
        <v>1185</v>
      </c>
      <c r="B484" s="653"/>
      <c r="C484" s="242" t="s">
        <v>275</v>
      </c>
      <c r="D484" s="678" t="s">
        <v>390</v>
      </c>
      <c r="E484" s="656">
        <v>1</v>
      </c>
      <c r="F484" s="657">
        <v>620</v>
      </c>
      <c r="G484" s="658"/>
      <c r="H484" s="658"/>
    </row>
    <row r="485" spans="1:8" s="695" customFormat="1" ht="47.25">
      <c r="A485" s="693" t="s">
        <v>1746</v>
      </c>
      <c r="B485" s="653"/>
      <c r="C485" s="661" t="s">
        <v>1186</v>
      </c>
      <c r="D485" s="678"/>
      <c r="E485" s="656"/>
      <c r="F485" s="657"/>
      <c r="G485" s="658"/>
      <c r="H485" s="658"/>
    </row>
    <row r="486" spans="1:8" s="695" customFormat="1" ht="110.25">
      <c r="A486" s="655"/>
      <c r="B486" s="653"/>
      <c r="C486" s="242" t="s">
        <v>1427</v>
      </c>
      <c r="D486" s="678"/>
      <c r="E486" s="656"/>
      <c r="F486" s="657"/>
      <c r="G486" s="658"/>
      <c r="H486" s="658"/>
    </row>
    <row r="487" spans="1:8" s="695" customFormat="1" ht="47.25">
      <c r="A487" s="655"/>
      <c r="B487" s="653"/>
      <c r="C487" s="242" t="s">
        <v>1187</v>
      </c>
      <c r="D487" s="678"/>
      <c r="E487" s="656"/>
      <c r="F487" s="657"/>
      <c r="G487" s="658"/>
      <c r="H487" s="658"/>
    </row>
    <row r="488" spans="1:8" s="695" customFormat="1" ht="69" customHeight="1">
      <c r="A488" s="655"/>
      <c r="B488" s="653"/>
      <c r="C488" s="242" t="s">
        <v>1181</v>
      </c>
      <c r="D488" s="678"/>
      <c r="E488" s="656"/>
      <c r="F488" s="657"/>
      <c r="G488" s="658"/>
      <c r="H488" s="658"/>
    </row>
    <row r="489" spans="1:8" s="695" customFormat="1">
      <c r="A489" s="655"/>
      <c r="B489" s="653"/>
      <c r="C489" s="242" t="s">
        <v>389</v>
      </c>
      <c r="D489" s="678"/>
      <c r="E489" s="656"/>
      <c r="F489" s="657"/>
      <c r="G489" s="658"/>
      <c r="H489" s="658"/>
    </row>
    <row r="490" spans="1:8" s="695" customFormat="1">
      <c r="A490" s="655" t="s">
        <v>1188</v>
      </c>
      <c r="B490" s="653"/>
      <c r="C490" s="242" t="s">
        <v>276</v>
      </c>
      <c r="D490" s="678" t="s">
        <v>390</v>
      </c>
      <c r="E490" s="656">
        <v>1</v>
      </c>
      <c r="F490" s="657">
        <v>790</v>
      </c>
      <c r="G490" s="658"/>
      <c r="H490" s="658"/>
    </row>
    <row r="491" spans="1:8" s="695" customFormat="1">
      <c r="A491" s="655" t="s">
        <v>1189</v>
      </c>
      <c r="B491" s="653"/>
      <c r="C491" s="242" t="s">
        <v>277</v>
      </c>
      <c r="D491" s="678" t="s">
        <v>390</v>
      </c>
      <c r="E491" s="656">
        <v>1</v>
      </c>
      <c r="F491" s="657">
        <v>1150</v>
      </c>
      <c r="G491" s="658"/>
      <c r="H491" s="658"/>
    </row>
    <row r="492" spans="1:8" s="695" customFormat="1">
      <c r="A492" s="655" t="s">
        <v>1190</v>
      </c>
      <c r="B492" s="653"/>
      <c r="C492" s="242" t="s">
        <v>278</v>
      </c>
      <c r="D492" s="678" t="s">
        <v>390</v>
      </c>
      <c r="E492" s="656">
        <v>1</v>
      </c>
      <c r="F492" s="657">
        <v>1200</v>
      </c>
      <c r="G492" s="658"/>
      <c r="H492" s="658"/>
    </row>
    <row r="493" spans="1:8">
      <c r="A493" s="653" t="s">
        <v>1747</v>
      </c>
      <c r="B493" s="653"/>
      <c r="C493" s="661" t="s">
        <v>1191</v>
      </c>
      <c r="D493" s="678"/>
      <c r="E493" s="656"/>
      <c r="F493" s="657"/>
      <c r="G493" s="658"/>
      <c r="H493" s="658"/>
    </row>
    <row r="494" spans="1:8" ht="126">
      <c r="A494" s="653"/>
      <c r="B494" s="653"/>
      <c r="C494" s="242" t="s">
        <v>1192</v>
      </c>
      <c r="D494" s="678"/>
      <c r="E494" s="656"/>
      <c r="F494" s="657"/>
      <c r="G494" s="658"/>
      <c r="H494" s="658"/>
    </row>
    <row r="495" spans="1:8" ht="31.5">
      <c r="A495" s="653"/>
      <c r="B495" s="653"/>
      <c r="C495" s="242" t="s">
        <v>1193</v>
      </c>
      <c r="D495" s="678"/>
      <c r="E495" s="656"/>
      <c r="F495" s="657"/>
      <c r="G495" s="658"/>
      <c r="H495" s="658"/>
    </row>
    <row r="496" spans="1:8" ht="48.75" customHeight="1">
      <c r="A496" s="653"/>
      <c r="B496" s="653"/>
      <c r="C496" s="242" t="s">
        <v>1194</v>
      </c>
      <c r="D496" s="678"/>
      <c r="E496" s="656"/>
      <c r="F496" s="657"/>
      <c r="G496" s="658"/>
      <c r="H496" s="658"/>
    </row>
    <row r="497" spans="1:8" ht="78.75">
      <c r="A497" s="653"/>
      <c r="B497" s="653"/>
      <c r="C497" s="242" t="s">
        <v>1157</v>
      </c>
      <c r="D497" s="678"/>
      <c r="E497" s="656"/>
      <c r="F497" s="657"/>
      <c r="G497" s="658"/>
      <c r="H497" s="658"/>
    </row>
    <row r="498" spans="1:8" ht="63">
      <c r="A498" s="653"/>
      <c r="B498" s="653"/>
      <c r="C498" s="242" t="s">
        <v>466</v>
      </c>
      <c r="D498" s="678"/>
      <c r="E498" s="656"/>
      <c r="F498" s="657"/>
      <c r="G498" s="658"/>
      <c r="H498" s="658"/>
    </row>
    <row r="499" spans="1:8">
      <c r="A499" s="655" t="s">
        <v>1195</v>
      </c>
      <c r="B499" s="653"/>
      <c r="C499" s="242" t="s">
        <v>1196</v>
      </c>
      <c r="D499" s="678" t="s">
        <v>642</v>
      </c>
      <c r="E499" s="656">
        <v>30</v>
      </c>
      <c r="F499" s="657">
        <v>1.8</v>
      </c>
      <c r="G499" s="658"/>
      <c r="H499" s="658"/>
    </row>
    <row r="500" spans="1:8" ht="31.5">
      <c r="A500" s="653" t="s">
        <v>1748</v>
      </c>
      <c r="B500" s="653"/>
      <c r="C500" s="661" t="s">
        <v>1197</v>
      </c>
      <c r="D500" s="678"/>
      <c r="E500" s="656"/>
      <c r="F500" s="657"/>
      <c r="G500" s="658"/>
      <c r="H500" s="658"/>
    </row>
    <row r="501" spans="1:8" ht="63">
      <c r="A501" s="653"/>
      <c r="B501" s="653"/>
      <c r="C501" s="242" t="s">
        <v>463</v>
      </c>
      <c r="D501" s="678"/>
      <c r="E501" s="656"/>
      <c r="F501" s="657"/>
      <c r="G501" s="658"/>
      <c r="H501" s="658"/>
    </row>
    <row r="502" spans="1:8" ht="94.5">
      <c r="A502" s="653"/>
      <c r="B502" s="653"/>
      <c r="C502" s="242" t="s">
        <v>1198</v>
      </c>
      <c r="D502" s="678"/>
      <c r="E502" s="656"/>
      <c r="F502" s="657"/>
      <c r="G502" s="658"/>
      <c r="H502" s="658"/>
    </row>
    <row r="503" spans="1:8" ht="94.5">
      <c r="A503" s="653"/>
      <c r="B503" s="653"/>
      <c r="C503" s="242" t="s">
        <v>1199</v>
      </c>
      <c r="D503" s="678"/>
      <c r="E503" s="656"/>
      <c r="F503" s="657"/>
      <c r="G503" s="658"/>
      <c r="H503" s="658"/>
    </row>
    <row r="504" spans="1:8" ht="31.5">
      <c r="A504" s="653"/>
      <c r="B504" s="653"/>
      <c r="C504" s="666" t="s">
        <v>465</v>
      </c>
      <c r="D504" s="678"/>
      <c r="E504" s="656"/>
      <c r="F504" s="657"/>
      <c r="G504" s="658"/>
      <c r="H504" s="658"/>
    </row>
    <row r="505" spans="1:8" ht="63">
      <c r="A505" s="653"/>
      <c r="B505" s="653"/>
      <c r="C505" s="242" t="s">
        <v>466</v>
      </c>
      <c r="D505" s="678"/>
      <c r="E505" s="656"/>
      <c r="F505" s="657"/>
      <c r="G505" s="658"/>
      <c r="H505" s="658"/>
    </row>
    <row r="506" spans="1:8">
      <c r="A506" s="653" t="s">
        <v>1200</v>
      </c>
      <c r="B506" s="653"/>
      <c r="C506" s="242" t="s">
        <v>459</v>
      </c>
      <c r="D506" s="678" t="s">
        <v>450</v>
      </c>
      <c r="E506" s="656">
        <f>'Specifikacija-Racun'!I199</f>
        <v>26.650000000000002</v>
      </c>
      <c r="F506" s="657">
        <v>150</v>
      </c>
      <c r="G506" s="658"/>
      <c r="H506" s="658"/>
    </row>
    <row r="507" spans="1:8">
      <c r="A507" s="653"/>
      <c r="B507" s="653"/>
      <c r="C507" s="242" t="s">
        <v>182</v>
      </c>
      <c r="D507" s="678"/>
      <c r="E507" s="656"/>
      <c r="F507" s="657"/>
      <c r="G507" s="658"/>
      <c r="H507" s="658"/>
    </row>
    <row r="508" spans="1:8" ht="31.5">
      <c r="A508" s="653" t="s">
        <v>1749</v>
      </c>
      <c r="B508" s="653"/>
      <c r="C508" s="661" t="s">
        <v>1201</v>
      </c>
      <c r="D508" s="678"/>
      <c r="E508" s="656"/>
      <c r="F508" s="657"/>
      <c r="G508" s="658"/>
      <c r="H508" s="658"/>
    </row>
    <row r="509" spans="1:8" ht="54.75" customHeight="1">
      <c r="A509" s="653"/>
      <c r="B509" s="653"/>
      <c r="C509" s="242" t="s">
        <v>1202</v>
      </c>
      <c r="D509" s="678"/>
      <c r="E509" s="656"/>
      <c r="F509" s="657"/>
      <c r="G509" s="658"/>
      <c r="H509" s="658"/>
    </row>
    <row r="510" spans="1:8" ht="47.25">
      <c r="A510" s="653"/>
      <c r="B510" s="653"/>
      <c r="C510" s="666" t="s">
        <v>1203</v>
      </c>
      <c r="D510" s="678"/>
      <c r="E510" s="656"/>
      <c r="F510" s="657"/>
      <c r="G510" s="658"/>
      <c r="H510" s="658"/>
    </row>
    <row r="511" spans="1:8" ht="63">
      <c r="A511" s="653"/>
      <c r="B511" s="653"/>
      <c r="C511" s="242" t="s">
        <v>466</v>
      </c>
      <c r="D511" s="678"/>
      <c r="E511" s="656"/>
      <c r="F511" s="657"/>
      <c r="G511" s="658"/>
      <c r="H511" s="658"/>
    </row>
    <row r="512" spans="1:8">
      <c r="A512" s="653" t="s">
        <v>1204</v>
      </c>
      <c r="B512" s="653"/>
      <c r="C512" s="242" t="s">
        <v>1063</v>
      </c>
      <c r="D512" s="678" t="s">
        <v>468</v>
      </c>
      <c r="E512" s="656">
        <v>6.1</v>
      </c>
      <c r="F512" s="657">
        <v>80</v>
      </c>
      <c r="G512" s="658"/>
      <c r="H512" s="658"/>
    </row>
    <row r="513" spans="1:8" ht="31.5">
      <c r="A513" s="653" t="s">
        <v>1750</v>
      </c>
      <c r="B513" s="653"/>
      <c r="C513" s="661" t="s">
        <v>1205</v>
      </c>
      <c r="D513" s="678"/>
      <c r="E513" s="656"/>
      <c r="F513" s="657"/>
      <c r="G513" s="658"/>
      <c r="H513" s="658"/>
    </row>
    <row r="514" spans="1:8" ht="110.25">
      <c r="A514" s="653"/>
      <c r="B514" s="653"/>
      <c r="C514" s="242" t="s">
        <v>1206</v>
      </c>
      <c r="D514" s="678"/>
      <c r="E514" s="656"/>
      <c r="F514" s="657"/>
      <c r="G514" s="658"/>
      <c r="H514" s="658"/>
    </row>
    <row r="515" spans="1:8" ht="31.5">
      <c r="A515" s="653"/>
      <c r="B515" s="653"/>
      <c r="C515" s="242" t="s">
        <v>1207</v>
      </c>
      <c r="D515" s="678"/>
      <c r="E515" s="656"/>
      <c r="F515" s="657"/>
      <c r="G515" s="658"/>
      <c r="H515" s="658"/>
    </row>
    <row r="516" spans="1:8" ht="47.25">
      <c r="A516" s="653"/>
      <c r="B516" s="653"/>
      <c r="C516" s="242" t="s">
        <v>1208</v>
      </c>
      <c r="D516" s="678"/>
      <c r="E516" s="656"/>
      <c r="F516" s="657"/>
      <c r="G516" s="658"/>
      <c r="H516" s="658"/>
    </row>
    <row r="517" spans="1:8">
      <c r="A517" s="653" t="s">
        <v>1209</v>
      </c>
      <c r="B517" s="653"/>
      <c r="C517" s="242" t="s">
        <v>389</v>
      </c>
      <c r="D517" s="678" t="s">
        <v>390</v>
      </c>
      <c r="E517" s="656">
        <v>1</v>
      </c>
      <c r="F517" s="657">
        <v>110</v>
      </c>
      <c r="G517" s="658"/>
      <c r="H517" s="658"/>
    </row>
    <row r="518" spans="1:8" ht="31.5">
      <c r="A518" s="653" t="s">
        <v>1751</v>
      </c>
      <c r="B518" s="693"/>
      <c r="C518" s="661" t="s">
        <v>1210</v>
      </c>
      <c r="D518" s="678"/>
      <c r="E518" s="656"/>
      <c r="F518" s="657"/>
      <c r="G518" s="658"/>
      <c r="H518" s="658"/>
    </row>
    <row r="519" spans="1:8" ht="78.75">
      <c r="A519" s="655"/>
      <c r="B519" s="693"/>
      <c r="C519" s="242" t="s">
        <v>1211</v>
      </c>
      <c r="D519" s="678"/>
      <c r="E519" s="713"/>
      <c r="F519" s="657"/>
      <c r="G519" s="658"/>
      <c r="H519" s="658"/>
    </row>
    <row r="520" spans="1:8" ht="47.25">
      <c r="A520" s="655"/>
      <c r="B520" s="693"/>
      <c r="C520" s="242" t="s">
        <v>1212</v>
      </c>
      <c r="D520" s="678"/>
      <c r="E520" s="713"/>
      <c r="F520" s="657"/>
      <c r="G520" s="658"/>
      <c r="H520" s="658"/>
    </row>
    <row r="521" spans="1:8" ht="47.25">
      <c r="A521" s="655"/>
      <c r="B521" s="693"/>
      <c r="C521" s="242" t="s">
        <v>1208</v>
      </c>
      <c r="D521" s="678"/>
      <c r="E521" s="713"/>
      <c r="F521" s="657"/>
      <c r="G521" s="658"/>
      <c r="H521" s="658"/>
    </row>
    <row r="522" spans="1:8">
      <c r="A522" s="655"/>
      <c r="B522" s="693"/>
      <c r="C522" s="242" t="s">
        <v>389</v>
      </c>
      <c r="D522" s="678" t="s">
        <v>390</v>
      </c>
      <c r="E522" s="656">
        <v>2</v>
      </c>
      <c r="F522" s="657">
        <v>110</v>
      </c>
      <c r="G522" s="658"/>
      <c r="H522" s="658"/>
    </row>
    <row r="523" spans="1:8" ht="47.25">
      <c r="A523" s="653" t="s">
        <v>1752</v>
      </c>
      <c r="B523" s="653"/>
      <c r="C523" s="661" t="s">
        <v>1213</v>
      </c>
      <c r="D523" s="678"/>
      <c r="E523" s="713"/>
      <c r="F523" s="657"/>
      <c r="G523" s="658"/>
      <c r="H523" s="658"/>
    </row>
    <row r="524" spans="1:8" ht="78.75">
      <c r="A524" s="653"/>
      <c r="B524" s="653"/>
      <c r="C524" s="242" t="s">
        <v>1214</v>
      </c>
      <c r="D524" s="678"/>
      <c r="E524" s="713"/>
      <c r="F524" s="657"/>
      <c r="G524" s="658"/>
      <c r="H524" s="658"/>
    </row>
    <row r="525" spans="1:8" ht="47.25">
      <c r="A525" s="690"/>
      <c r="B525" s="693"/>
      <c r="C525" s="242" t="s">
        <v>1208</v>
      </c>
      <c r="D525" s="678"/>
      <c r="E525" s="656"/>
      <c r="F525" s="657"/>
      <c r="G525" s="658"/>
      <c r="H525" s="658"/>
    </row>
    <row r="526" spans="1:8">
      <c r="A526" s="655"/>
      <c r="B526" s="693"/>
      <c r="C526" s="242" t="s">
        <v>389</v>
      </c>
      <c r="D526" s="678" t="s">
        <v>390</v>
      </c>
      <c r="E526" s="656">
        <v>2</v>
      </c>
      <c r="F526" s="657">
        <v>70</v>
      </c>
      <c r="G526" s="658"/>
      <c r="H526" s="658"/>
    </row>
    <row r="527" spans="1:8" ht="31.5">
      <c r="A527" s="655" t="s">
        <v>1753</v>
      </c>
      <c r="B527" s="693"/>
      <c r="C527" s="661" t="s">
        <v>462</v>
      </c>
      <c r="D527" s="678"/>
      <c r="E527" s="656"/>
      <c r="F527" s="657"/>
      <c r="G527" s="658"/>
      <c r="H527" s="658"/>
    </row>
    <row r="528" spans="1:8" ht="47.25">
      <c r="A528" s="655"/>
      <c r="B528" s="693"/>
      <c r="C528" s="242" t="s">
        <v>1441</v>
      </c>
      <c r="D528" s="678"/>
      <c r="E528" s="656"/>
      <c r="F528" s="657"/>
      <c r="G528" s="658"/>
      <c r="H528" s="658"/>
    </row>
    <row r="529" spans="1:8" ht="87" customHeight="1">
      <c r="A529" s="655"/>
      <c r="B529" s="693"/>
      <c r="C529" s="242" t="s">
        <v>464</v>
      </c>
      <c r="D529" s="678"/>
      <c r="E529" s="656"/>
      <c r="F529" s="657"/>
      <c r="G529" s="658"/>
      <c r="H529" s="658"/>
    </row>
    <row r="530" spans="1:8" ht="31.5">
      <c r="A530" s="655"/>
      <c r="B530" s="693"/>
      <c r="C530" s="666" t="s">
        <v>465</v>
      </c>
      <c r="D530" s="678"/>
      <c r="E530" s="656"/>
      <c r="F530" s="657"/>
      <c r="G530" s="658"/>
      <c r="H530" s="658"/>
    </row>
    <row r="531" spans="1:8" ht="63">
      <c r="A531" s="655"/>
      <c r="B531" s="693"/>
      <c r="C531" s="242" t="s">
        <v>466</v>
      </c>
      <c r="D531" s="678"/>
      <c r="E531" s="656"/>
      <c r="F531" s="657"/>
      <c r="G531" s="658"/>
      <c r="H531" s="658"/>
    </row>
    <row r="532" spans="1:8" ht="16.5" thickBot="1">
      <c r="A532" s="653" t="s">
        <v>1215</v>
      </c>
      <c r="B532" s="693"/>
      <c r="C532" s="685" t="s">
        <v>467</v>
      </c>
      <c r="D532" s="691" t="s">
        <v>468</v>
      </c>
      <c r="E532" s="673">
        <v>18.100000000000001</v>
      </c>
      <c r="F532" s="687">
        <v>90</v>
      </c>
      <c r="G532" s="688"/>
      <c r="H532" s="688"/>
    </row>
    <row r="533" spans="1:8">
      <c r="A533" s="653"/>
      <c r="B533" s="653"/>
      <c r="C533" s="1021" t="s">
        <v>469</v>
      </c>
      <c r="D533" s="1021"/>
      <c r="E533" s="1021"/>
      <c r="F533" s="1021"/>
      <c r="G533" s="1021"/>
      <c r="H533" s="752"/>
    </row>
    <row r="534" spans="1:8">
      <c r="A534" s="653"/>
      <c r="B534" s="653"/>
      <c r="C534" s="675"/>
      <c r="D534" s="675"/>
      <c r="E534" s="675"/>
      <c r="F534" s="675"/>
      <c r="G534" s="675"/>
      <c r="H534" s="689"/>
    </row>
    <row r="535" spans="1:8">
      <c r="A535" s="677" t="s">
        <v>74</v>
      </c>
      <c r="B535" s="653"/>
      <c r="C535" s="717" t="s">
        <v>1216</v>
      </c>
      <c r="D535" s="678"/>
      <c r="E535" s="656"/>
      <c r="F535" s="657"/>
      <c r="G535" s="658"/>
      <c r="H535" s="658"/>
    </row>
    <row r="536" spans="1:8" ht="31.5">
      <c r="A536" s="653" t="s">
        <v>75</v>
      </c>
      <c r="B536" s="653" t="s">
        <v>69</v>
      </c>
      <c r="C536" s="661" t="s">
        <v>1217</v>
      </c>
      <c r="D536" s="678"/>
      <c r="E536" s="656"/>
      <c r="F536" s="657"/>
      <c r="G536" s="658"/>
      <c r="H536" s="658"/>
    </row>
    <row r="537" spans="1:8" ht="110.25">
      <c r="A537" s="653"/>
      <c r="B537" s="653"/>
      <c r="C537" s="242" t="s">
        <v>1432</v>
      </c>
      <c r="D537" s="678"/>
      <c r="E537" s="656"/>
      <c r="F537" s="657"/>
      <c r="G537" s="658"/>
      <c r="H537" s="658"/>
    </row>
    <row r="538" spans="1:8" ht="16.5" customHeight="1">
      <c r="A538" s="653"/>
      <c r="B538" s="653"/>
      <c r="C538" s="718" t="s">
        <v>1433</v>
      </c>
      <c r="D538" s="678"/>
      <c r="E538" s="656"/>
      <c r="F538" s="657"/>
      <c r="G538" s="658"/>
      <c r="H538" s="658"/>
    </row>
    <row r="539" spans="1:8" ht="31.5">
      <c r="A539" s="653"/>
      <c r="B539" s="653"/>
      <c r="C539" s="242" t="s">
        <v>1117</v>
      </c>
      <c r="D539" s="678"/>
      <c r="E539" s="656"/>
      <c r="F539" s="657"/>
      <c r="G539" s="658"/>
      <c r="H539" s="658"/>
    </row>
    <row r="540" spans="1:8">
      <c r="A540" s="653"/>
      <c r="B540" s="653"/>
      <c r="C540" s="242" t="s">
        <v>1218</v>
      </c>
      <c r="D540" s="678" t="s">
        <v>399</v>
      </c>
      <c r="E540" s="656">
        <f>'Specifikacija-Racun'!I211</f>
        <v>423.35499999999996</v>
      </c>
      <c r="F540" s="657">
        <v>42</v>
      </c>
      <c r="G540" s="658"/>
      <c r="H540" s="658"/>
    </row>
    <row r="541" spans="1:8">
      <c r="A541" s="653"/>
      <c r="B541" s="653"/>
      <c r="C541" s="242" t="s">
        <v>184</v>
      </c>
      <c r="D541" s="678"/>
      <c r="E541" s="656"/>
      <c r="F541" s="657"/>
      <c r="G541" s="658"/>
      <c r="H541" s="658"/>
    </row>
    <row r="542" spans="1:8">
      <c r="A542" s="653"/>
      <c r="B542" s="653"/>
      <c r="C542" s="242" t="s">
        <v>1054</v>
      </c>
      <c r="D542" s="678"/>
      <c r="E542" s="656"/>
      <c r="F542" s="657"/>
      <c r="G542" s="658"/>
      <c r="H542" s="658"/>
    </row>
    <row r="543" spans="1:8">
      <c r="A543" s="653"/>
      <c r="B543" s="653"/>
      <c r="C543" s="242" t="s">
        <v>185</v>
      </c>
      <c r="D543" s="678"/>
      <c r="E543" s="656"/>
      <c r="F543" s="657"/>
      <c r="G543" s="658"/>
      <c r="H543" s="658"/>
    </row>
    <row r="544" spans="1:8" ht="51" customHeight="1">
      <c r="A544" s="653" t="s">
        <v>76</v>
      </c>
      <c r="B544" s="653" t="s">
        <v>70</v>
      </c>
      <c r="C544" s="661" t="s">
        <v>1219</v>
      </c>
      <c r="D544" s="678"/>
      <c r="E544" s="656"/>
      <c r="F544" s="657"/>
      <c r="G544" s="658"/>
      <c r="H544" s="658"/>
    </row>
    <row r="545" spans="1:8" ht="50.25" customHeight="1">
      <c r="A545" s="653"/>
      <c r="B545" s="653"/>
      <c r="C545" s="242" t="s">
        <v>1220</v>
      </c>
      <c r="D545" s="678"/>
      <c r="E545" s="656"/>
      <c r="F545" s="657"/>
      <c r="G545" s="658"/>
      <c r="H545" s="658"/>
    </row>
    <row r="546" spans="1:8" ht="31.5">
      <c r="A546" s="653"/>
      <c r="B546" s="653"/>
      <c r="C546" s="242" t="s">
        <v>1221</v>
      </c>
      <c r="D546" s="678"/>
      <c r="E546" s="656"/>
      <c r="F546" s="657"/>
      <c r="G546" s="658"/>
      <c r="H546" s="658"/>
    </row>
    <row r="547" spans="1:8" ht="18.75" customHeight="1">
      <c r="A547" s="653"/>
      <c r="B547" s="653"/>
      <c r="C547" s="242" t="s">
        <v>1222</v>
      </c>
      <c r="D547" s="678"/>
      <c r="E547" s="656"/>
      <c r="F547" s="657"/>
      <c r="G547" s="658"/>
      <c r="H547" s="658"/>
    </row>
    <row r="548" spans="1:8" ht="31.5">
      <c r="A548" s="653"/>
      <c r="B548" s="653"/>
      <c r="C548" s="242" t="s">
        <v>1117</v>
      </c>
      <c r="D548" s="678"/>
      <c r="E548" s="656"/>
      <c r="F548" s="657"/>
      <c r="G548" s="658"/>
      <c r="H548" s="658"/>
    </row>
    <row r="549" spans="1:8">
      <c r="A549" s="653"/>
      <c r="B549" s="653"/>
      <c r="C549" s="242" t="s">
        <v>410</v>
      </c>
      <c r="D549" s="678" t="s">
        <v>399</v>
      </c>
      <c r="E549" s="656">
        <f>'Specifikacija-Racun'!I214</f>
        <v>72.38</v>
      </c>
      <c r="F549" s="657">
        <v>22</v>
      </c>
      <c r="G549" s="658"/>
      <c r="H549" s="658"/>
    </row>
    <row r="550" spans="1:8">
      <c r="A550" s="653"/>
      <c r="B550" s="653"/>
      <c r="C550" s="242" t="s">
        <v>188</v>
      </c>
      <c r="D550" s="678"/>
      <c r="E550" s="656"/>
      <c r="F550" s="657"/>
      <c r="G550" s="658"/>
      <c r="H550" s="658"/>
    </row>
    <row r="551" spans="1:8" ht="63">
      <c r="A551" s="653" t="s">
        <v>1754</v>
      </c>
      <c r="B551" s="653"/>
      <c r="C551" s="661" t="s">
        <v>1223</v>
      </c>
      <c r="D551" s="678"/>
      <c r="E551" s="656"/>
      <c r="F551" s="657"/>
      <c r="G551" s="658"/>
      <c r="H551" s="658"/>
    </row>
    <row r="552" spans="1:8" ht="47.25">
      <c r="A552" s="653"/>
      <c r="B552" s="653"/>
      <c r="C552" s="242" t="s">
        <v>1224</v>
      </c>
      <c r="D552" s="678"/>
      <c r="E552" s="656"/>
      <c r="F552" s="657"/>
      <c r="G552" s="658"/>
      <c r="H552" s="658"/>
    </row>
    <row r="553" spans="1:8" ht="78.75">
      <c r="A553" s="653"/>
      <c r="B553" s="653"/>
      <c r="C553" s="242" t="s">
        <v>1225</v>
      </c>
      <c r="D553" s="678"/>
      <c r="E553" s="656"/>
      <c r="F553" s="657"/>
      <c r="G553" s="658"/>
      <c r="H553" s="658"/>
    </row>
    <row r="554" spans="1:8" ht="47.25">
      <c r="A554" s="653"/>
      <c r="B554" s="653"/>
      <c r="C554" s="242" t="s">
        <v>1226</v>
      </c>
      <c r="D554" s="678"/>
      <c r="E554" s="656"/>
      <c r="F554" s="657"/>
      <c r="G554" s="658"/>
      <c r="H554" s="658"/>
    </row>
    <row r="555" spans="1:8">
      <c r="A555" s="653"/>
      <c r="B555" s="653"/>
      <c r="C555" s="242" t="s">
        <v>1063</v>
      </c>
      <c r="D555" s="678" t="s">
        <v>468</v>
      </c>
      <c r="E555" s="656">
        <f>'Specifikacija-Racun'!I217</f>
        <v>55.599999999999994</v>
      </c>
      <c r="F555" s="657">
        <v>10</v>
      </c>
      <c r="G555" s="658"/>
      <c r="H555" s="658"/>
    </row>
    <row r="556" spans="1:8">
      <c r="A556" s="653"/>
      <c r="B556" s="653"/>
      <c r="C556" s="242" t="s">
        <v>189</v>
      </c>
      <c r="D556" s="678"/>
      <c r="E556" s="656"/>
      <c r="F556" s="657"/>
      <c r="G556" s="658"/>
      <c r="H556" s="658"/>
    </row>
    <row r="557" spans="1:8" ht="66" customHeight="1">
      <c r="A557" s="653" t="s">
        <v>1755</v>
      </c>
      <c r="B557" s="653"/>
      <c r="C557" s="661" t="s">
        <v>1227</v>
      </c>
      <c r="D557" s="678"/>
      <c r="E557" s="656"/>
      <c r="F557" s="657"/>
      <c r="G557" s="658"/>
      <c r="H557" s="658"/>
    </row>
    <row r="558" spans="1:8" ht="34.5" customHeight="1">
      <c r="A558" s="653"/>
      <c r="B558" s="653"/>
      <c r="C558" s="242" t="s">
        <v>1228</v>
      </c>
      <c r="D558" s="678"/>
      <c r="E558" s="656"/>
      <c r="F558" s="657"/>
      <c r="G558" s="658"/>
      <c r="H558" s="658"/>
    </row>
    <row r="559" spans="1:8" ht="47.25">
      <c r="A559" s="653"/>
      <c r="B559" s="653"/>
      <c r="C559" s="242" t="s">
        <v>1226</v>
      </c>
      <c r="D559" s="678"/>
      <c r="E559" s="656"/>
      <c r="F559" s="657"/>
      <c r="G559" s="658"/>
      <c r="H559" s="658"/>
    </row>
    <row r="560" spans="1:8">
      <c r="A560" s="653"/>
      <c r="B560" s="653"/>
      <c r="C560" s="242" t="s">
        <v>389</v>
      </c>
      <c r="D560" s="678" t="s">
        <v>390</v>
      </c>
      <c r="E560" s="656">
        <v>8</v>
      </c>
      <c r="F560" s="657">
        <v>30</v>
      </c>
      <c r="G560" s="658"/>
      <c r="H560" s="658"/>
    </row>
    <row r="561" spans="1:8" ht="63">
      <c r="A561" s="653" t="s">
        <v>1756</v>
      </c>
      <c r="B561" s="653"/>
      <c r="C561" s="661" t="s">
        <v>1229</v>
      </c>
      <c r="D561" s="678"/>
      <c r="E561" s="656"/>
      <c r="F561" s="657"/>
      <c r="G561" s="658"/>
      <c r="H561" s="658"/>
    </row>
    <row r="562" spans="1:8" ht="47.25">
      <c r="A562" s="653"/>
      <c r="B562" s="653"/>
      <c r="C562" s="242" t="s">
        <v>1226</v>
      </c>
      <c r="D562" s="678"/>
      <c r="E562" s="656"/>
      <c r="F562" s="657"/>
      <c r="G562" s="658"/>
      <c r="H562" s="658"/>
    </row>
    <row r="563" spans="1:8">
      <c r="A563" s="653"/>
      <c r="B563" s="653"/>
      <c r="C563" s="242" t="s">
        <v>389</v>
      </c>
      <c r="D563" s="678" t="s">
        <v>390</v>
      </c>
      <c r="E563" s="656">
        <v>8</v>
      </c>
      <c r="F563" s="657">
        <v>42</v>
      </c>
      <c r="G563" s="658"/>
      <c r="H563" s="658"/>
    </row>
    <row r="564" spans="1:8" ht="47.25">
      <c r="A564" s="653" t="s">
        <v>1757</v>
      </c>
      <c r="B564" s="653"/>
      <c r="C564" s="661" t="s">
        <v>1230</v>
      </c>
      <c r="D564" s="678"/>
      <c r="E564" s="656"/>
      <c r="F564" s="657"/>
      <c r="G564" s="658"/>
      <c r="H564" s="658"/>
    </row>
    <row r="565" spans="1:8" ht="63">
      <c r="A565" s="653"/>
      <c r="B565" s="653"/>
      <c r="C565" s="242" t="s">
        <v>1231</v>
      </c>
      <c r="D565" s="678"/>
      <c r="E565" s="656"/>
      <c r="F565" s="657"/>
      <c r="G565" s="658"/>
      <c r="H565" s="658"/>
    </row>
    <row r="566" spans="1:8" ht="52.5" customHeight="1">
      <c r="A566" s="653"/>
      <c r="B566" s="653"/>
      <c r="C566" s="242" t="s">
        <v>1232</v>
      </c>
      <c r="D566" s="678"/>
      <c r="E566" s="656"/>
      <c r="F566" s="657"/>
      <c r="G566" s="658"/>
      <c r="H566" s="658"/>
    </row>
    <row r="567" spans="1:8" ht="47.25">
      <c r="A567" s="653"/>
      <c r="B567" s="653"/>
      <c r="C567" s="242" t="s">
        <v>1233</v>
      </c>
      <c r="D567" s="678"/>
      <c r="E567" s="656"/>
      <c r="F567" s="657"/>
      <c r="G567" s="658"/>
      <c r="H567" s="658"/>
    </row>
    <row r="568" spans="1:8" ht="31.5">
      <c r="A568" s="653"/>
      <c r="B568" s="653"/>
      <c r="C568" s="242" t="s">
        <v>1117</v>
      </c>
      <c r="D568" s="678"/>
      <c r="E568" s="656"/>
      <c r="F568" s="657"/>
      <c r="G568" s="658"/>
      <c r="H568" s="658"/>
    </row>
    <row r="569" spans="1:8">
      <c r="A569" s="653"/>
      <c r="B569" s="653"/>
      <c r="C569" s="242" t="s">
        <v>1063</v>
      </c>
      <c r="D569" s="678" t="s">
        <v>468</v>
      </c>
      <c r="E569" s="656">
        <f>'Specifikacija-Racun'!I220</f>
        <v>110.30000000000001</v>
      </c>
      <c r="F569" s="657">
        <v>11</v>
      </c>
      <c r="G569" s="658"/>
      <c r="H569" s="658"/>
    </row>
    <row r="570" spans="1:8" ht="16.5" thickBot="1">
      <c r="A570" s="653"/>
      <c r="B570" s="653"/>
      <c r="C570" s="685" t="s">
        <v>190</v>
      </c>
      <c r="D570" s="691"/>
      <c r="E570" s="673"/>
      <c r="F570" s="687"/>
      <c r="G570" s="688"/>
      <c r="H570" s="688"/>
    </row>
    <row r="571" spans="1:8">
      <c r="A571" s="653"/>
      <c r="B571" s="653"/>
      <c r="C571" s="1021" t="s">
        <v>1234</v>
      </c>
      <c r="D571" s="1021"/>
      <c r="E571" s="1021"/>
      <c r="F571" s="1021"/>
      <c r="G571" s="1021"/>
      <c r="H571" s="752"/>
    </row>
    <row r="572" spans="1:8">
      <c r="A572" s="653"/>
      <c r="B572" s="653"/>
      <c r="C572" s="675"/>
      <c r="D572" s="675"/>
      <c r="E572" s="675"/>
      <c r="F572" s="675"/>
      <c r="G572" s="675"/>
      <c r="H572" s="689"/>
    </row>
    <row r="573" spans="1:8">
      <c r="A573" s="677" t="s">
        <v>77</v>
      </c>
      <c r="B573" s="677"/>
      <c r="C573" s="717" t="s">
        <v>1235</v>
      </c>
      <c r="D573" s="678"/>
      <c r="E573" s="656"/>
      <c r="F573" s="657"/>
      <c r="G573" s="658"/>
      <c r="H573" s="658"/>
    </row>
    <row r="574" spans="1:8" ht="31.5">
      <c r="A574" s="653" t="s">
        <v>82</v>
      </c>
      <c r="B574" s="653" t="s">
        <v>81</v>
      </c>
      <c r="C574" s="667" t="s">
        <v>1236</v>
      </c>
      <c r="D574" s="678"/>
      <c r="E574" s="656"/>
      <c r="F574" s="719"/>
      <c r="G574" s="658"/>
      <c r="H574" s="658"/>
    </row>
    <row r="575" spans="1:8" ht="47.25">
      <c r="A575" s="653"/>
      <c r="B575" s="653"/>
      <c r="C575" s="242" t="s">
        <v>1434</v>
      </c>
      <c r="D575" s="678"/>
      <c r="E575" s="656"/>
      <c r="F575" s="719"/>
      <c r="G575" s="658"/>
      <c r="H575" s="658"/>
    </row>
    <row r="576" spans="1:8" ht="69" customHeight="1">
      <c r="A576" s="653"/>
      <c r="B576" s="653"/>
      <c r="C576" s="242" t="s">
        <v>1237</v>
      </c>
      <c r="D576" s="678"/>
      <c r="E576" s="656"/>
      <c r="F576" s="719"/>
      <c r="G576" s="658"/>
      <c r="H576" s="658"/>
    </row>
    <row r="577" spans="1:8" ht="53.25" customHeight="1">
      <c r="A577" s="653"/>
      <c r="B577" s="653"/>
      <c r="C577" s="242" t="s">
        <v>1238</v>
      </c>
      <c r="D577" s="678"/>
      <c r="E577" s="656"/>
      <c r="F577" s="719"/>
      <c r="G577" s="658"/>
      <c r="H577" s="658"/>
    </row>
    <row r="578" spans="1:8">
      <c r="A578" s="653"/>
      <c r="B578" s="653"/>
      <c r="C578" s="242" t="s">
        <v>410</v>
      </c>
      <c r="D578" s="678" t="s">
        <v>399</v>
      </c>
      <c r="E578" s="656">
        <f>'Specifikacija-Racun'!I238</f>
        <v>616.04650000000015</v>
      </c>
      <c r="F578" s="657">
        <v>19</v>
      </c>
      <c r="G578" s="658"/>
      <c r="H578" s="658"/>
    </row>
    <row r="579" spans="1:8">
      <c r="A579" s="653"/>
      <c r="B579" s="653"/>
      <c r="C579" s="242" t="s">
        <v>1043</v>
      </c>
      <c r="D579" s="678"/>
      <c r="E579" s="656"/>
      <c r="F579" s="657"/>
      <c r="G579" s="658"/>
      <c r="H579" s="658"/>
    </row>
    <row r="580" spans="1:8">
      <c r="A580" s="653"/>
      <c r="B580" s="653"/>
      <c r="C580" s="242" t="s">
        <v>192</v>
      </c>
      <c r="D580" s="678"/>
      <c r="E580" s="656"/>
      <c r="F580" s="657"/>
      <c r="G580" s="658"/>
      <c r="H580" s="658"/>
    </row>
    <row r="581" spans="1:8">
      <c r="A581" s="653"/>
      <c r="B581" s="653"/>
      <c r="C581" s="242" t="s">
        <v>199</v>
      </c>
      <c r="D581" s="678"/>
      <c r="E581" s="656"/>
      <c r="F581" s="657"/>
      <c r="G581" s="658"/>
      <c r="H581" s="658"/>
    </row>
    <row r="582" spans="1:8">
      <c r="A582" s="653"/>
      <c r="B582" s="653"/>
      <c r="C582" s="242" t="s">
        <v>197</v>
      </c>
      <c r="D582" s="678"/>
      <c r="E582" s="656"/>
      <c r="F582" s="657"/>
      <c r="G582" s="658"/>
      <c r="H582" s="658"/>
    </row>
    <row r="583" spans="1:8">
      <c r="A583" s="653"/>
      <c r="B583" s="653"/>
      <c r="C583" s="242" t="s">
        <v>1394</v>
      </c>
      <c r="D583" s="678"/>
      <c r="E583" s="656"/>
      <c r="F583" s="657"/>
      <c r="G583" s="658"/>
      <c r="H583" s="658"/>
    </row>
    <row r="584" spans="1:8">
      <c r="A584" s="653"/>
      <c r="B584" s="653"/>
      <c r="C584" s="242" t="s">
        <v>193</v>
      </c>
      <c r="D584" s="678"/>
      <c r="E584" s="656"/>
      <c r="F584" s="657"/>
      <c r="G584" s="658"/>
      <c r="H584" s="658"/>
    </row>
    <row r="585" spans="1:8" ht="31.5">
      <c r="A585" s="653"/>
      <c r="B585" s="653"/>
      <c r="C585" s="242" t="s">
        <v>198</v>
      </c>
      <c r="D585" s="678"/>
      <c r="E585" s="656"/>
      <c r="F585" s="657"/>
      <c r="G585" s="658"/>
      <c r="H585" s="658"/>
    </row>
    <row r="586" spans="1:8">
      <c r="A586" s="653"/>
      <c r="B586" s="653"/>
      <c r="C586" s="242" t="s">
        <v>1395</v>
      </c>
      <c r="D586" s="678"/>
      <c r="E586" s="656"/>
      <c r="F586" s="657"/>
      <c r="G586" s="658"/>
      <c r="H586" s="658"/>
    </row>
    <row r="587" spans="1:8">
      <c r="A587" s="653"/>
      <c r="B587" s="653"/>
      <c r="C587" s="242" t="s">
        <v>194</v>
      </c>
      <c r="D587" s="678"/>
      <c r="E587" s="656"/>
      <c r="F587" s="657"/>
      <c r="G587" s="658"/>
      <c r="H587" s="658"/>
    </row>
    <row r="588" spans="1:8" ht="31.5">
      <c r="A588" s="653"/>
      <c r="B588" s="653"/>
      <c r="C588" s="242" t="s">
        <v>200</v>
      </c>
      <c r="D588" s="678"/>
      <c r="E588" s="656"/>
      <c r="F588" s="657"/>
      <c r="G588" s="658"/>
      <c r="H588" s="658"/>
    </row>
    <row r="589" spans="1:8">
      <c r="A589" s="653"/>
      <c r="B589" s="653"/>
      <c r="C589" s="242" t="s">
        <v>1044</v>
      </c>
      <c r="D589" s="678"/>
      <c r="E589" s="656"/>
      <c r="F589" s="657"/>
      <c r="G589" s="658"/>
      <c r="H589" s="658"/>
    </row>
    <row r="590" spans="1:8">
      <c r="A590" s="653"/>
      <c r="B590" s="653"/>
      <c r="C590" s="242" t="s">
        <v>201</v>
      </c>
      <c r="D590" s="678"/>
      <c r="E590" s="656"/>
      <c r="F590" s="657"/>
      <c r="G590" s="658"/>
      <c r="H590" s="658"/>
    </row>
    <row r="591" spans="1:8" ht="47.25">
      <c r="A591" s="653" t="s">
        <v>83</v>
      </c>
      <c r="B591" s="653" t="s">
        <v>16</v>
      </c>
      <c r="C591" s="667" t="s">
        <v>1435</v>
      </c>
      <c r="D591" s="678"/>
      <c r="E591" s="656"/>
      <c r="F591" s="719"/>
      <c r="G591" s="658"/>
      <c r="H591" s="658"/>
    </row>
    <row r="592" spans="1:8" ht="63">
      <c r="A592" s="653"/>
      <c r="B592" s="653"/>
      <c r="C592" s="242" t="s">
        <v>1239</v>
      </c>
      <c r="D592" s="678"/>
      <c r="E592" s="656"/>
      <c r="F592" s="719"/>
      <c r="G592" s="658"/>
      <c r="H592" s="658"/>
    </row>
    <row r="593" spans="1:8" ht="31.5">
      <c r="A593" s="653"/>
      <c r="B593" s="653"/>
      <c r="C593" s="242" t="s">
        <v>1240</v>
      </c>
      <c r="D593" s="678"/>
      <c r="E593" s="656"/>
      <c r="F593" s="719"/>
      <c r="G593" s="658"/>
      <c r="H593" s="658"/>
    </row>
    <row r="594" spans="1:8" ht="31.5">
      <c r="A594" s="653"/>
      <c r="B594" s="653"/>
      <c r="C594" s="242" t="s">
        <v>1241</v>
      </c>
      <c r="D594" s="678"/>
      <c r="E594" s="656"/>
      <c r="F594" s="719"/>
      <c r="G594" s="658"/>
      <c r="H594" s="658"/>
    </row>
    <row r="595" spans="1:8">
      <c r="A595" s="653"/>
      <c r="B595" s="653"/>
      <c r="C595" s="242" t="s">
        <v>410</v>
      </c>
      <c r="D595" s="678" t="s">
        <v>399</v>
      </c>
      <c r="E595" s="656">
        <f>'Specifikacija-Racun'!I242</f>
        <v>181.70999999999998</v>
      </c>
      <c r="F595" s="719">
        <v>21</v>
      </c>
      <c r="G595" s="658"/>
      <c r="H595" s="658"/>
    </row>
    <row r="596" spans="1:8" ht="32.25" thickBot="1">
      <c r="A596" s="653"/>
      <c r="B596" s="653"/>
      <c r="C596" s="685" t="s">
        <v>196</v>
      </c>
      <c r="D596" s="691"/>
      <c r="E596" s="673"/>
      <c r="F596" s="720"/>
      <c r="G596" s="688"/>
      <c r="H596" s="688"/>
    </row>
    <row r="597" spans="1:8">
      <c r="A597" s="653"/>
      <c r="B597" s="653"/>
      <c r="C597" s="1021" t="s">
        <v>1242</v>
      </c>
      <c r="D597" s="1021"/>
      <c r="E597" s="1021"/>
      <c r="F597" s="1021"/>
      <c r="G597" s="1021"/>
      <c r="H597" s="752"/>
    </row>
    <row r="598" spans="1:8">
      <c r="A598" s="653"/>
      <c r="B598" s="653"/>
      <c r="C598" s="675"/>
      <c r="D598" s="675"/>
      <c r="E598" s="675"/>
      <c r="F598" s="675"/>
      <c r="G598" s="675"/>
      <c r="H598" s="689"/>
    </row>
    <row r="599" spans="1:8">
      <c r="A599" s="677" t="s">
        <v>78</v>
      </c>
      <c r="B599" s="677"/>
      <c r="C599" s="661" t="s">
        <v>1243</v>
      </c>
      <c r="D599" s="678"/>
      <c r="E599" s="656"/>
      <c r="F599" s="657"/>
      <c r="G599" s="658"/>
      <c r="H599" s="658"/>
    </row>
    <row r="600" spans="1:8" ht="63">
      <c r="A600" s="653" t="s">
        <v>86</v>
      </c>
      <c r="B600" s="653" t="s">
        <v>15</v>
      </c>
      <c r="C600" s="661" t="s">
        <v>1244</v>
      </c>
      <c r="D600" s="678"/>
      <c r="E600" s="656"/>
      <c r="F600" s="657"/>
      <c r="G600" s="658"/>
      <c r="H600" s="658"/>
    </row>
    <row r="601" spans="1:8" ht="47.25">
      <c r="A601" s="653"/>
      <c r="B601" s="653" t="s">
        <v>1245</v>
      </c>
      <c r="C601" s="242" t="s">
        <v>1246</v>
      </c>
      <c r="D601" s="678"/>
      <c r="E601" s="656"/>
      <c r="F601" s="657"/>
      <c r="G601" s="658"/>
      <c r="H601" s="658"/>
    </row>
    <row r="602" spans="1:8" ht="63">
      <c r="A602" s="653"/>
      <c r="B602" s="653"/>
      <c r="C602" s="242" t="s">
        <v>1930</v>
      </c>
      <c r="D602" s="678"/>
      <c r="E602" s="656"/>
      <c r="F602" s="657"/>
      <c r="G602" s="658"/>
      <c r="H602" s="658"/>
    </row>
    <row r="603" spans="1:8" ht="63">
      <c r="A603" s="653"/>
      <c r="B603" s="653"/>
      <c r="C603" s="242" t="s">
        <v>1247</v>
      </c>
      <c r="D603" s="678"/>
      <c r="E603" s="656"/>
      <c r="F603" s="657"/>
      <c r="G603" s="658"/>
      <c r="H603" s="658"/>
    </row>
    <row r="604" spans="1:8" ht="31.5">
      <c r="A604" s="653"/>
      <c r="B604" s="653"/>
      <c r="C604" s="242" t="s">
        <v>1248</v>
      </c>
      <c r="D604" s="678"/>
      <c r="E604" s="656"/>
      <c r="F604" s="657"/>
      <c r="G604" s="658"/>
      <c r="H604" s="658"/>
    </row>
    <row r="605" spans="1:8" ht="69.75" customHeight="1">
      <c r="A605" s="653"/>
      <c r="B605" s="653"/>
      <c r="C605" s="242" t="s">
        <v>1439</v>
      </c>
      <c r="D605" s="678"/>
      <c r="E605" s="656"/>
      <c r="F605" s="657"/>
      <c r="G605" s="658"/>
      <c r="H605" s="658"/>
    </row>
    <row r="606" spans="1:8" ht="50.25" customHeight="1">
      <c r="A606" s="653"/>
      <c r="B606" s="653"/>
      <c r="C606" s="242" t="s">
        <v>1250</v>
      </c>
      <c r="D606" s="678"/>
      <c r="E606" s="656"/>
      <c r="F606" s="657"/>
      <c r="G606" s="658"/>
      <c r="H606" s="658"/>
    </row>
    <row r="607" spans="1:8" ht="54" customHeight="1">
      <c r="A607" s="653"/>
      <c r="B607" s="653"/>
      <c r="C607" s="242" t="s">
        <v>1251</v>
      </c>
      <c r="D607" s="678"/>
      <c r="E607" s="656"/>
      <c r="F607" s="657"/>
      <c r="G607" s="658"/>
      <c r="H607" s="658"/>
    </row>
    <row r="608" spans="1:8">
      <c r="A608" s="653"/>
      <c r="B608" s="653"/>
      <c r="C608" s="242" t="s">
        <v>410</v>
      </c>
      <c r="D608" s="678"/>
      <c r="E608" s="656"/>
      <c r="F608" s="657"/>
      <c r="G608" s="658"/>
      <c r="H608" s="658"/>
    </row>
    <row r="609" spans="1:8">
      <c r="A609" s="653"/>
      <c r="B609" s="653"/>
      <c r="C609" s="242" t="s">
        <v>1252</v>
      </c>
      <c r="D609" s="678" t="s">
        <v>399</v>
      </c>
      <c r="E609" s="656">
        <f>'Specifikacija-Racun'!I256</f>
        <v>827.78399999999999</v>
      </c>
      <c r="F609" s="657">
        <v>29</v>
      </c>
      <c r="G609" s="658"/>
      <c r="H609" s="658"/>
    </row>
    <row r="610" spans="1:8">
      <c r="A610" s="653"/>
      <c r="B610" s="653"/>
      <c r="C610" s="661" t="s">
        <v>1043</v>
      </c>
      <c r="D610" s="678"/>
      <c r="E610" s="656"/>
      <c r="F610" s="657"/>
      <c r="G610" s="658"/>
      <c r="H610" s="658"/>
    </row>
    <row r="611" spans="1:8" ht="31.5">
      <c r="A611" s="653"/>
      <c r="B611" s="653"/>
      <c r="C611" s="242" t="s">
        <v>203</v>
      </c>
      <c r="D611" s="678"/>
      <c r="E611" s="656"/>
      <c r="F611" s="657"/>
      <c r="G611" s="658"/>
      <c r="H611" s="658"/>
    </row>
    <row r="612" spans="1:8">
      <c r="A612" s="653"/>
      <c r="B612" s="653"/>
      <c r="C612" s="242" t="s">
        <v>1044</v>
      </c>
      <c r="D612" s="678"/>
      <c r="E612" s="656"/>
      <c r="F612" s="657"/>
      <c r="G612" s="658"/>
      <c r="H612" s="658"/>
    </row>
    <row r="613" spans="1:8">
      <c r="A613" s="653"/>
      <c r="B613" s="653"/>
      <c r="C613" s="242" t="s">
        <v>204</v>
      </c>
      <c r="D613" s="678"/>
      <c r="E613" s="656"/>
      <c r="F613" s="657"/>
      <c r="G613" s="658"/>
      <c r="H613" s="658"/>
    </row>
    <row r="614" spans="1:8">
      <c r="A614" s="653"/>
      <c r="B614" s="653"/>
      <c r="C614" s="661" t="s">
        <v>1394</v>
      </c>
      <c r="D614" s="678"/>
      <c r="E614" s="656"/>
      <c r="F614" s="657"/>
      <c r="G614" s="658"/>
      <c r="H614" s="658"/>
    </row>
    <row r="615" spans="1:8" ht="47.25">
      <c r="A615" s="653"/>
      <c r="B615" s="653"/>
      <c r="C615" s="242" t="s">
        <v>205</v>
      </c>
      <c r="D615" s="678"/>
      <c r="E615" s="656"/>
      <c r="F615" s="657"/>
      <c r="G615" s="658"/>
      <c r="H615" s="658"/>
    </row>
    <row r="616" spans="1:8">
      <c r="A616" s="653"/>
      <c r="B616" s="653"/>
      <c r="C616" s="242" t="s">
        <v>1044</v>
      </c>
      <c r="D616" s="678"/>
      <c r="E616" s="656"/>
      <c r="F616" s="657"/>
      <c r="G616" s="658"/>
      <c r="H616" s="658"/>
    </row>
    <row r="617" spans="1:8">
      <c r="A617" s="653"/>
      <c r="B617" s="653"/>
      <c r="C617" s="242" t="s">
        <v>206</v>
      </c>
      <c r="D617" s="678"/>
      <c r="E617" s="656"/>
      <c r="F617" s="657"/>
      <c r="G617" s="658"/>
      <c r="H617" s="658"/>
    </row>
    <row r="618" spans="1:8">
      <c r="A618" s="653"/>
      <c r="B618" s="653"/>
      <c r="C618" s="661" t="s">
        <v>1395</v>
      </c>
      <c r="D618" s="678"/>
      <c r="E618" s="656"/>
      <c r="F618" s="657"/>
      <c r="G618" s="658"/>
      <c r="H618" s="658"/>
    </row>
    <row r="619" spans="1:8" ht="47.25">
      <c r="A619" s="653"/>
      <c r="B619" s="653"/>
      <c r="C619" s="242" t="s">
        <v>208</v>
      </c>
      <c r="D619" s="678"/>
      <c r="E619" s="656"/>
      <c r="F619" s="657"/>
      <c r="G619" s="658"/>
      <c r="H619" s="658"/>
    </row>
    <row r="620" spans="1:8">
      <c r="A620" s="653"/>
      <c r="B620" s="653"/>
      <c r="C620" s="242" t="s">
        <v>1044</v>
      </c>
      <c r="D620" s="678"/>
      <c r="E620" s="656"/>
      <c r="F620" s="657"/>
      <c r="G620" s="658"/>
      <c r="H620" s="658"/>
    </row>
    <row r="621" spans="1:8">
      <c r="A621" s="653"/>
      <c r="B621" s="653"/>
      <c r="C621" s="242" t="s">
        <v>209</v>
      </c>
      <c r="D621" s="678"/>
      <c r="E621" s="656"/>
      <c r="F621" s="657"/>
      <c r="G621" s="658"/>
      <c r="H621" s="658"/>
    </row>
    <row r="622" spans="1:8" ht="78.75">
      <c r="A622" s="653" t="s">
        <v>87</v>
      </c>
      <c r="B622" s="653" t="s">
        <v>15</v>
      </c>
      <c r="C622" s="667" t="s">
        <v>1253</v>
      </c>
      <c r="D622" s="678"/>
      <c r="E622" s="656"/>
      <c r="F622" s="657"/>
      <c r="G622" s="658"/>
      <c r="H622" s="658"/>
    </row>
    <row r="623" spans="1:8" ht="63">
      <c r="A623" s="653"/>
      <c r="B623" s="653" t="s">
        <v>1254</v>
      </c>
      <c r="C623" s="242" t="s">
        <v>1255</v>
      </c>
      <c r="D623" s="678"/>
      <c r="E623" s="656"/>
      <c r="F623" s="657"/>
      <c r="G623" s="658"/>
      <c r="H623" s="658"/>
    </row>
    <row r="624" spans="1:8" ht="63">
      <c r="A624" s="653"/>
      <c r="B624" s="653"/>
      <c r="C624" s="242" t="s">
        <v>1931</v>
      </c>
      <c r="D624" s="678"/>
      <c r="E624" s="656"/>
      <c r="F624" s="657"/>
      <c r="G624" s="658"/>
      <c r="H624" s="658"/>
    </row>
    <row r="625" spans="1:8" ht="63">
      <c r="A625" s="653"/>
      <c r="B625" s="653"/>
      <c r="C625" s="242" t="s">
        <v>1247</v>
      </c>
      <c r="D625" s="678"/>
      <c r="E625" s="656"/>
      <c r="F625" s="657"/>
      <c r="G625" s="658"/>
      <c r="H625" s="658"/>
    </row>
    <row r="626" spans="1:8" ht="31.5">
      <c r="A626" s="653"/>
      <c r="B626" s="653"/>
      <c r="C626" s="242" t="s">
        <v>1248</v>
      </c>
      <c r="D626" s="678"/>
      <c r="E626" s="656"/>
      <c r="F626" s="657"/>
      <c r="G626" s="658"/>
      <c r="H626" s="658"/>
    </row>
    <row r="627" spans="1:8" ht="78.75">
      <c r="A627" s="653"/>
      <c r="B627" s="653"/>
      <c r="C627" s="242" t="s">
        <v>1249</v>
      </c>
      <c r="D627" s="678"/>
      <c r="E627" s="656"/>
      <c r="F627" s="657"/>
      <c r="G627" s="658"/>
      <c r="H627" s="658"/>
    </row>
    <row r="628" spans="1:8" ht="47.25">
      <c r="A628" s="653"/>
      <c r="B628" s="653"/>
      <c r="C628" s="242" t="s">
        <v>1250</v>
      </c>
      <c r="D628" s="678"/>
      <c r="E628" s="656"/>
      <c r="F628" s="657"/>
      <c r="G628" s="658"/>
      <c r="H628" s="658"/>
    </row>
    <row r="629" spans="1:8" ht="51" customHeight="1">
      <c r="A629" s="653"/>
      <c r="B629" s="653"/>
      <c r="C629" s="242" t="s">
        <v>1251</v>
      </c>
      <c r="D629" s="678"/>
      <c r="E629" s="656"/>
      <c r="F629" s="657"/>
      <c r="G629" s="658"/>
      <c r="H629" s="658"/>
    </row>
    <row r="630" spans="1:8">
      <c r="A630" s="653"/>
      <c r="B630" s="653"/>
      <c r="C630" s="242" t="s">
        <v>410</v>
      </c>
      <c r="D630" s="678"/>
      <c r="E630" s="656"/>
      <c r="F630" s="657"/>
      <c r="G630" s="658"/>
      <c r="H630" s="658"/>
    </row>
    <row r="631" spans="1:8">
      <c r="A631" s="653"/>
      <c r="B631" s="653"/>
      <c r="C631" s="242" t="s">
        <v>1252</v>
      </c>
      <c r="D631" s="678"/>
      <c r="E631" s="656"/>
      <c r="F631" s="657"/>
      <c r="G631" s="658"/>
      <c r="H631" s="658"/>
    </row>
    <row r="632" spans="1:8">
      <c r="A632" s="653"/>
      <c r="B632" s="653"/>
      <c r="C632" s="661" t="s">
        <v>1043</v>
      </c>
      <c r="D632" s="678" t="s">
        <v>399</v>
      </c>
      <c r="E632" s="656">
        <f>'Specifikacija-Racun'!F261</f>
        <v>316.70999999999998</v>
      </c>
      <c r="F632" s="657">
        <v>33</v>
      </c>
      <c r="G632" s="658"/>
      <c r="H632" s="658"/>
    </row>
    <row r="633" spans="1:8">
      <c r="A633" s="653"/>
      <c r="B633" s="653"/>
      <c r="C633" s="666" t="s">
        <v>202</v>
      </c>
      <c r="D633" s="678"/>
      <c r="E633" s="656"/>
      <c r="F633" s="657"/>
      <c r="G633" s="658"/>
      <c r="H633" s="658"/>
    </row>
    <row r="634" spans="1:8">
      <c r="A634" s="653"/>
      <c r="B634" s="653"/>
      <c r="C634" s="667" t="s">
        <v>1394</v>
      </c>
      <c r="D634" s="678"/>
      <c r="E634" s="656"/>
      <c r="F634" s="657"/>
      <c r="G634" s="658"/>
      <c r="H634" s="658"/>
    </row>
    <row r="635" spans="1:8">
      <c r="A635" s="653"/>
      <c r="B635" s="653"/>
      <c r="C635" s="666" t="s">
        <v>207</v>
      </c>
      <c r="D635" s="678"/>
      <c r="E635" s="656"/>
      <c r="F635" s="657"/>
      <c r="G635" s="658"/>
      <c r="H635" s="658"/>
    </row>
    <row r="636" spans="1:8">
      <c r="A636" s="653"/>
      <c r="B636" s="653"/>
      <c r="C636" s="667" t="s">
        <v>1395</v>
      </c>
      <c r="D636" s="678"/>
      <c r="E636" s="656"/>
      <c r="F636" s="657"/>
      <c r="G636" s="658"/>
      <c r="H636" s="658"/>
    </row>
    <row r="637" spans="1:8">
      <c r="A637" s="653"/>
      <c r="B637" s="653"/>
      <c r="C637" s="666" t="s">
        <v>207</v>
      </c>
      <c r="D637" s="678"/>
      <c r="E637" s="656"/>
      <c r="F637" s="657"/>
      <c r="G637" s="658"/>
      <c r="H637" s="658"/>
    </row>
    <row r="638" spans="1:8" ht="78.75">
      <c r="A638" s="653" t="s">
        <v>1758</v>
      </c>
      <c r="B638" s="653" t="s">
        <v>85</v>
      </c>
      <c r="C638" s="661" t="s">
        <v>1256</v>
      </c>
      <c r="D638" s="678"/>
      <c r="E638" s="656"/>
      <c r="F638" s="657"/>
      <c r="G638" s="658"/>
      <c r="H638" s="658"/>
    </row>
    <row r="639" spans="1:8" ht="110.25">
      <c r="A639" s="653"/>
      <c r="B639" s="653"/>
      <c r="C639" s="242" t="s">
        <v>1932</v>
      </c>
      <c r="D639" s="678"/>
      <c r="E639" s="656"/>
      <c r="F639" s="657"/>
      <c r="G639" s="658"/>
      <c r="H639" s="658"/>
    </row>
    <row r="640" spans="1:8" ht="31.5">
      <c r="A640" s="653"/>
      <c r="B640" s="653"/>
      <c r="C640" s="242" t="s">
        <v>1257</v>
      </c>
      <c r="D640" s="678"/>
      <c r="E640" s="656"/>
      <c r="F640" s="657"/>
      <c r="G640" s="658"/>
      <c r="H640" s="658"/>
    </row>
    <row r="641" spans="1:8" ht="53.25" customHeight="1">
      <c r="A641" s="653"/>
      <c r="B641" s="653"/>
      <c r="C641" s="242" t="s">
        <v>1251</v>
      </c>
      <c r="D641" s="678"/>
      <c r="E641" s="656"/>
      <c r="F641" s="657"/>
      <c r="G641" s="658"/>
      <c r="H641" s="658"/>
    </row>
    <row r="642" spans="1:8">
      <c r="A642" s="653"/>
      <c r="B642" s="653"/>
      <c r="C642" s="242" t="s">
        <v>410</v>
      </c>
      <c r="D642" s="678"/>
      <c r="E642" s="656"/>
      <c r="F642" s="657"/>
      <c r="G642" s="658"/>
      <c r="H642" s="658"/>
    </row>
    <row r="643" spans="1:8">
      <c r="A643" s="653"/>
      <c r="B643" s="653"/>
      <c r="C643" s="661" t="s">
        <v>1043</v>
      </c>
      <c r="D643" s="678" t="s">
        <v>399</v>
      </c>
      <c r="E643" s="656">
        <f>'Specifikacija-Racun'!I263</f>
        <v>17.760000000000002</v>
      </c>
      <c r="F643" s="657">
        <v>50</v>
      </c>
      <c r="G643" s="658"/>
      <c r="H643" s="658"/>
    </row>
    <row r="644" spans="1:8">
      <c r="A644" s="653"/>
      <c r="B644" s="653"/>
      <c r="C644" s="242" t="s">
        <v>212</v>
      </c>
      <c r="D644" s="678"/>
      <c r="E644" s="656"/>
      <c r="F644" s="657"/>
      <c r="G644" s="658"/>
      <c r="H644" s="658"/>
    </row>
    <row r="645" spans="1:8" ht="63">
      <c r="A645" s="653" t="s">
        <v>88</v>
      </c>
      <c r="B645" s="653"/>
      <c r="C645" s="721" t="s">
        <v>1436</v>
      </c>
      <c r="D645" s="678"/>
      <c r="E645" s="656"/>
      <c r="F645" s="657"/>
      <c r="G645" s="658"/>
      <c r="H645" s="658"/>
    </row>
    <row r="646" spans="1:8" ht="94.5">
      <c r="A646" s="653"/>
      <c r="B646" s="653"/>
      <c r="C646" s="722" t="s">
        <v>1419</v>
      </c>
      <c r="D646" s="678"/>
      <c r="E646" s="656"/>
      <c r="F646" s="657"/>
      <c r="G646" s="658"/>
      <c r="H646" s="658"/>
    </row>
    <row r="647" spans="1:8" ht="94.5">
      <c r="A647" s="653"/>
      <c r="B647" s="653"/>
      <c r="C647" s="722" t="s">
        <v>1420</v>
      </c>
      <c r="D647" s="678"/>
      <c r="E647" s="656"/>
      <c r="F647" s="657"/>
      <c r="G647" s="658"/>
      <c r="H647" s="658"/>
    </row>
    <row r="648" spans="1:8" ht="48.75" customHeight="1">
      <c r="A648" s="653"/>
      <c r="B648" s="653"/>
      <c r="C648" s="722" t="s">
        <v>1258</v>
      </c>
      <c r="D648" s="678"/>
      <c r="E648" s="656"/>
      <c r="F648" s="657"/>
      <c r="G648" s="658"/>
      <c r="H648" s="658"/>
    </row>
    <row r="649" spans="1:8">
      <c r="A649" s="653"/>
      <c r="B649" s="653"/>
      <c r="C649" s="722" t="s">
        <v>410</v>
      </c>
      <c r="D649" s="678" t="s">
        <v>399</v>
      </c>
      <c r="E649" s="656">
        <f>'Specifikacija-Racun'!I268</f>
        <v>319.88199999999995</v>
      </c>
      <c r="F649" s="657">
        <v>70</v>
      </c>
      <c r="G649" s="658"/>
      <c r="H649" s="658"/>
    </row>
    <row r="650" spans="1:8">
      <c r="A650" s="653"/>
      <c r="B650" s="653"/>
      <c r="C650" s="722" t="s">
        <v>1043</v>
      </c>
      <c r="D650" s="678"/>
      <c r="E650" s="656"/>
      <c r="F650" s="657"/>
      <c r="G650" s="658"/>
      <c r="H650" s="658"/>
    </row>
    <row r="651" spans="1:8" ht="33" customHeight="1">
      <c r="A651" s="653"/>
      <c r="B651" s="653"/>
      <c r="C651" s="722" t="s">
        <v>213</v>
      </c>
      <c r="D651" s="678"/>
      <c r="E651" s="656"/>
      <c r="F651" s="657"/>
      <c r="G651" s="658"/>
      <c r="H651" s="658"/>
    </row>
    <row r="652" spans="1:8">
      <c r="A652" s="653"/>
      <c r="B652" s="653"/>
      <c r="C652" s="722" t="s">
        <v>1044</v>
      </c>
      <c r="D652" s="678"/>
      <c r="E652" s="656"/>
      <c r="F652" s="657"/>
      <c r="G652" s="658"/>
      <c r="H652" s="658"/>
    </row>
    <row r="653" spans="1:8">
      <c r="A653" s="653"/>
      <c r="B653" s="653"/>
      <c r="C653" s="722" t="s">
        <v>214</v>
      </c>
      <c r="D653" s="678"/>
      <c r="E653" s="656"/>
      <c r="F653" s="657"/>
      <c r="G653" s="658"/>
      <c r="H653" s="658"/>
    </row>
    <row r="654" spans="1:8" ht="63">
      <c r="A654" s="653" t="s">
        <v>89</v>
      </c>
      <c r="B654" s="653"/>
      <c r="C654" s="721" t="s">
        <v>1421</v>
      </c>
      <c r="D654" s="678"/>
      <c r="E654" s="656"/>
      <c r="F654" s="657"/>
      <c r="G654" s="658"/>
      <c r="H654" s="658"/>
    </row>
    <row r="655" spans="1:8" ht="110.25">
      <c r="A655" s="653"/>
      <c r="B655" s="653"/>
      <c r="C655" s="189" t="s">
        <v>1422</v>
      </c>
      <c r="D655" s="678"/>
      <c r="E655" s="656"/>
      <c r="F655" s="657"/>
      <c r="G655" s="658"/>
      <c r="H655" s="658"/>
    </row>
    <row r="656" spans="1:8" ht="63">
      <c r="A656" s="653"/>
      <c r="B656" s="653"/>
      <c r="C656" s="722" t="s">
        <v>1259</v>
      </c>
      <c r="D656" s="678"/>
      <c r="E656" s="656"/>
      <c r="F656" s="657"/>
      <c r="G656" s="658"/>
      <c r="H656" s="658"/>
    </row>
    <row r="657" spans="1:8">
      <c r="A657" s="653"/>
      <c r="B657" s="653"/>
      <c r="C657" s="722" t="s">
        <v>410</v>
      </c>
      <c r="D657" s="678" t="s">
        <v>399</v>
      </c>
      <c r="E657" s="656">
        <f>'Specifikacija-Racun'!I269</f>
        <v>156.25999999999996</v>
      </c>
      <c r="F657" s="657">
        <v>60</v>
      </c>
      <c r="G657" s="658"/>
      <c r="H657" s="658"/>
    </row>
    <row r="658" spans="1:8" ht="31.5">
      <c r="A658" s="653"/>
      <c r="B658" s="653"/>
      <c r="C658" s="722" t="s">
        <v>216</v>
      </c>
      <c r="D658" s="678"/>
      <c r="E658" s="656"/>
      <c r="F658" s="657"/>
      <c r="G658" s="658"/>
      <c r="H658" s="658"/>
    </row>
    <row r="659" spans="1:8" ht="47.25">
      <c r="A659" s="653" t="s">
        <v>1759</v>
      </c>
      <c r="B659" s="653"/>
      <c r="C659" s="661" t="s">
        <v>1455</v>
      </c>
      <c r="D659" s="678"/>
      <c r="E659" s="656"/>
      <c r="F659" s="657"/>
      <c r="G659" s="658"/>
      <c r="H659" s="658"/>
    </row>
    <row r="660" spans="1:8" ht="94.5">
      <c r="A660" s="653"/>
      <c r="B660" s="653"/>
      <c r="C660" s="242" t="s">
        <v>1456</v>
      </c>
      <c r="D660" s="678"/>
      <c r="E660" s="656"/>
      <c r="F660" s="657"/>
      <c r="G660" s="658"/>
      <c r="H660" s="658"/>
    </row>
    <row r="661" spans="1:8" ht="31.5">
      <c r="A661" s="653"/>
      <c r="B661" s="653"/>
      <c r="C661" s="242" t="s">
        <v>1257</v>
      </c>
      <c r="D661" s="678"/>
      <c r="E661" s="656"/>
      <c r="F661" s="657"/>
      <c r="G661" s="658"/>
      <c r="H661" s="658"/>
    </row>
    <row r="662" spans="1:8" ht="49.5" customHeight="1">
      <c r="A662" s="653"/>
      <c r="B662" s="653"/>
      <c r="C662" s="242" t="s">
        <v>1251</v>
      </c>
      <c r="D662" s="678"/>
      <c r="E662" s="656"/>
      <c r="F662" s="657"/>
      <c r="G662" s="658"/>
      <c r="H662" s="658"/>
    </row>
    <row r="663" spans="1:8">
      <c r="A663" s="653"/>
      <c r="B663" s="653"/>
      <c r="C663" s="242" t="s">
        <v>410</v>
      </c>
      <c r="D663" s="678" t="s">
        <v>399</v>
      </c>
      <c r="E663" s="656">
        <f>'Specifikacija-Racun'!I274</f>
        <v>988.66</v>
      </c>
      <c r="F663" s="657">
        <v>25</v>
      </c>
      <c r="G663" s="658"/>
      <c r="H663" s="658"/>
    </row>
    <row r="664" spans="1:8">
      <c r="A664" s="653"/>
      <c r="B664" s="653"/>
      <c r="C664" s="661" t="s">
        <v>1043</v>
      </c>
      <c r="D664" s="678"/>
      <c r="E664" s="656"/>
      <c r="F664" s="657"/>
      <c r="G664" s="658"/>
      <c r="H664" s="658"/>
    </row>
    <row r="665" spans="1:8" ht="31.5">
      <c r="A665" s="653"/>
      <c r="B665" s="653"/>
      <c r="C665" s="242" t="s">
        <v>217</v>
      </c>
      <c r="D665" s="678"/>
      <c r="E665" s="656"/>
      <c r="F665" s="657"/>
      <c r="G665" s="658"/>
      <c r="H665" s="658"/>
    </row>
    <row r="666" spans="1:8">
      <c r="A666" s="653"/>
      <c r="B666" s="653"/>
      <c r="C666" s="661" t="s">
        <v>1394</v>
      </c>
      <c r="D666" s="678"/>
      <c r="E666" s="656"/>
      <c r="F666" s="657"/>
      <c r="G666" s="658"/>
      <c r="H666" s="658"/>
    </row>
    <row r="667" spans="1:8" ht="63">
      <c r="A667" s="653"/>
      <c r="B667" s="653"/>
      <c r="C667" s="242" t="s">
        <v>218</v>
      </c>
      <c r="D667" s="678"/>
      <c r="E667" s="656"/>
      <c r="F667" s="657"/>
      <c r="G667" s="658"/>
      <c r="H667" s="658"/>
    </row>
    <row r="668" spans="1:8">
      <c r="A668" s="653"/>
      <c r="B668" s="653"/>
      <c r="C668" s="661" t="s">
        <v>1395</v>
      </c>
      <c r="D668" s="678"/>
      <c r="E668" s="656"/>
      <c r="F668" s="657"/>
      <c r="G668" s="658"/>
      <c r="H668" s="658"/>
    </row>
    <row r="669" spans="1:8" ht="63">
      <c r="A669" s="653"/>
      <c r="B669" s="653"/>
      <c r="C669" s="242" t="s">
        <v>219</v>
      </c>
      <c r="D669" s="678"/>
      <c r="E669" s="656"/>
      <c r="F669" s="657"/>
      <c r="G669" s="658"/>
      <c r="H669" s="658"/>
    </row>
    <row r="670" spans="1:8" ht="47.25">
      <c r="A670" s="653" t="s">
        <v>1760</v>
      </c>
      <c r="B670" s="653"/>
      <c r="C670" s="661" t="s">
        <v>1260</v>
      </c>
      <c r="D670" s="678"/>
      <c r="E670" s="656"/>
      <c r="F670" s="657"/>
      <c r="G670" s="658"/>
      <c r="H670" s="658"/>
    </row>
    <row r="671" spans="1:8" ht="47.25">
      <c r="A671" s="653"/>
      <c r="B671" s="653"/>
      <c r="C671" s="242" t="s">
        <v>1261</v>
      </c>
      <c r="D671" s="678"/>
      <c r="E671" s="656"/>
      <c r="F671" s="657"/>
      <c r="G671" s="658"/>
      <c r="H671" s="658"/>
    </row>
    <row r="672" spans="1:8" ht="31.5">
      <c r="A672" s="653"/>
      <c r="B672" s="653"/>
      <c r="C672" s="242" t="s">
        <v>434</v>
      </c>
      <c r="D672" s="678"/>
      <c r="E672" s="656"/>
      <c r="F672" s="657"/>
      <c r="G672" s="658"/>
      <c r="H672" s="658"/>
    </row>
    <row r="673" spans="1:8">
      <c r="A673" s="653"/>
      <c r="B673" s="653"/>
      <c r="C673" s="242" t="s">
        <v>389</v>
      </c>
      <c r="D673" s="678" t="s">
        <v>390</v>
      </c>
      <c r="E673" s="656">
        <v>90</v>
      </c>
      <c r="F673" s="657">
        <v>43</v>
      </c>
      <c r="G673" s="658"/>
      <c r="H673" s="658"/>
    </row>
    <row r="674" spans="1:8">
      <c r="A674" s="653" t="s">
        <v>1761</v>
      </c>
      <c r="B674" s="653"/>
      <c r="C674" s="661" t="s">
        <v>1437</v>
      </c>
      <c r="D674" s="242"/>
      <c r="E674" s="242"/>
      <c r="F674" s="657"/>
      <c r="G674" s="658"/>
      <c r="H674" s="658"/>
    </row>
    <row r="675" spans="1:8" ht="129" customHeight="1">
      <c r="A675" s="653"/>
      <c r="B675" s="653"/>
      <c r="C675" s="242" t="s">
        <v>1262</v>
      </c>
      <c r="D675" s="242"/>
      <c r="E675" s="242"/>
      <c r="F675" s="657"/>
      <c r="G675" s="658"/>
      <c r="H675" s="658"/>
    </row>
    <row r="676" spans="1:8">
      <c r="A676" s="653"/>
      <c r="B676" s="653"/>
      <c r="C676" s="242" t="s">
        <v>389</v>
      </c>
      <c r="D676" s="470" t="s">
        <v>390</v>
      </c>
      <c r="E676" s="470">
        <v>39</v>
      </c>
      <c r="F676" s="657">
        <v>140</v>
      </c>
      <c r="G676" s="658"/>
      <c r="H676" s="658"/>
    </row>
    <row r="677" spans="1:8" ht="31.5">
      <c r="A677" s="653" t="s">
        <v>1762</v>
      </c>
      <c r="B677" s="653"/>
      <c r="C677" s="661" t="s">
        <v>1263</v>
      </c>
      <c r="D677" s="470"/>
      <c r="E677" s="470"/>
      <c r="F677" s="657"/>
      <c r="G677" s="658"/>
      <c r="H677" s="658"/>
    </row>
    <row r="678" spans="1:8" ht="66.75" customHeight="1">
      <c r="A678" s="653"/>
      <c r="B678" s="653"/>
      <c r="C678" s="242" t="s">
        <v>1264</v>
      </c>
      <c r="D678" s="470"/>
      <c r="E678" s="470"/>
      <c r="F678" s="657"/>
      <c r="G678" s="658"/>
      <c r="H678" s="658"/>
    </row>
    <row r="679" spans="1:8" ht="31.5">
      <c r="A679" s="653"/>
      <c r="B679" s="653"/>
      <c r="C679" s="242" t="s">
        <v>1265</v>
      </c>
      <c r="D679" s="678"/>
      <c r="E679" s="58"/>
      <c r="F679" s="657"/>
      <c r="G679" s="658"/>
      <c r="H679" s="658"/>
    </row>
    <row r="680" spans="1:8" ht="16.5" thickBot="1">
      <c r="A680" s="653"/>
      <c r="B680" s="653"/>
      <c r="C680" s="685" t="s">
        <v>389</v>
      </c>
      <c r="D680" s="691" t="s">
        <v>390</v>
      </c>
      <c r="E680" s="723">
        <v>18</v>
      </c>
      <c r="F680" s="687">
        <v>50</v>
      </c>
      <c r="G680" s="688"/>
      <c r="H680" s="688"/>
    </row>
    <row r="681" spans="1:8">
      <c r="A681" s="653"/>
      <c r="B681" s="653"/>
      <c r="C681" s="1021" t="s">
        <v>1266</v>
      </c>
      <c r="D681" s="1021"/>
      <c r="E681" s="1021"/>
      <c r="F681" s="1021"/>
      <c r="G681" s="1021"/>
      <c r="H681" s="752"/>
    </row>
    <row r="682" spans="1:8" ht="32.25" customHeight="1">
      <c r="A682" s="653"/>
      <c r="B682" s="653"/>
      <c r="C682" s="675"/>
      <c r="D682" s="675"/>
      <c r="E682" s="675"/>
      <c r="F682" s="675"/>
      <c r="G682" s="675"/>
      <c r="H682" s="689"/>
    </row>
    <row r="683" spans="1:8">
      <c r="A683" s="677" t="s">
        <v>79</v>
      </c>
      <c r="B683" s="677"/>
      <c r="C683" s="705" t="s">
        <v>1267</v>
      </c>
      <c r="D683" s="678"/>
      <c r="E683" s="656"/>
      <c r="F683" s="657"/>
      <c r="G683" s="658"/>
      <c r="H683" s="658"/>
    </row>
    <row r="684" spans="1:8" ht="6.75" customHeight="1">
      <c r="A684" s="677"/>
      <c r="B684" s="677"/>
      <c r="C684" s="694"/>
      <c r="D684" s="678"/>
      <c r="E684" s="656"/>
      <c r="F684" s="657"/>
      <c r="G684" s="658"/>
      <c r="H684" s="658"/>
    </row>
    <row r="685" spans="1:8" ht="63">
      <c r="A685" s="653" t="s">
        <v>91</v>
      </c>
      <c r="B685" s="653"/>
      <c r="C685" s="661" t="s">
        <v>1429</v>
      </c>
      <c r="D685" s="242"/>
      <c r="E685" s="724"/>
      <c r="F685" s="657"/>
      <c r="G685" s="658"/>
      <c r="H685" s="658"/>
    </row>
    <row r="686" spans="1:8" ht="78.75">
      <c r="A686" s="653"/>
      <c r="B686" s="653"/>
      <c r="C686" s="242" t="s">
        <v>1268</v>
      </c>
      <c r="D686" s="242"/>
      <c r="E686" s="724"/>
      <c r="F686" s="657"/>
      <c r="G686" s="658"/>
      <c r="H686" s="658"/>
    </row>
    <row r="687" spans="1:8" ht="36.75" customHeight="1">
      <c r="A687" s="653"/>
      <c r="B687" s="653"/>
      <c r="C687" s="242" t="s">
        <v>1269</v>
      </c>
      <c r="D687" s="242"/>
      <c r="E687" s="724"/>
      <c r="F687" s="657"/>
      <c r="G687" s="658"/>
      <c r="H687" s="658"/>
    </row>
    <row r="688" spans="1:8" ht="78.75">
      <c r="A688" s="653"/>
      <c r="B688" s="653"/>
      <c r="C688" s="242" t="s">
        <v>1440</v>
      </c>
      <c r="D688" s="242"/>
      <c r="E688" s="724"/>
      <c r="F688" s="657"/>
      <c r="G688" s="658"/>
      <c r="H688" s="658"/>
    </row>
    <row r="689" spans="1:8">
      <c r="A689" s="653"/>
      <c r="B689" s="653"/>
      <c r="C689" s="242" t="s">
        <v>1270</v>
      </c>
      <c r="D689" s="242"/>
      <c r="E689" s="724"/>
      <c r="F689" s="657"/>
      <c r="G689" s="658"/>
      <c r="H689" s="658"/>
    </row>
    <row r="690" spans="1:8" ht="31.5">
      <c r="A690" s="653"/>
      <c r="B690" s="653"/>
      <c r="C690" s="242" t="s">
        <v>1271</v>
      </c>
      <c r="D690" s="242"/>
      <c r="E690" s="724"/>
      <c r="F690" s="657"/>
      <c r="G690" s="658"/>
      <c r="H690" s="658"/>
    </row>
    <row r="691" spans="1:8" ht="47.25">
      <c r="A691" s="653"/>
      <c r="B691" s="653"/>
      <c r="C691" s="242" t="s">
        <v>1272</v>
      </c>
      <c r="D691" s="242"/>
      <c r="E691" s="724"/>
      <c r="F691" s="657"/>
      <c r="G691" s="658"/>
      <c r="H691" s="658"/>
    </row>
    <row r="692" spans="1:8" ht="47.25">
      <c r="A692" s="653"/>
      <c r="B692" s="653"/>
      <c r="C692" s="242" t="s">
        <v>1273</v>
      </c>
      <c r="D692" s="242"/>
      <c r="E692" s="724"/>
      <c r="F692" s="719"/>
      <c r="G692" s="658"/>
      <c r="H692" s="658"/>
    </row>
    <row r="693" spans="1:8" ht="94.5">
      <c r="A693" s="653"/>
      <c r="B693" s="653"/>
      <c r="C693" s="725" t="s">
        <v>1274</v>
      </c>
      <c r="D693" s="242"/>
      <c r="E693" s="724"/>
      <c r="F693" s="719"/>
      <c r="G693" s="658"/>
      <c r="H693" s="658"/>
    </row>
    <row r="694" spans="1:8" ht="31.5">
      <c r="A694" s="653"/>
      <c r="B694" s="653"/>
      <c r="C694" s="242" t="s">
        <v>1275</v>
      </c>
      <c r="D694" s="242"/>
      <c r="E694" s="724"/>
      <c r="F694" s="719"/>
      <c r="G694" s="658"/>
      <c r="H694" s="658"/>
    </row>
    <row r="695" spans="1:8" ht="63">
      <c r="A695" s="653"/>
      <c r="B695" s="653"/>
      <c r="C695" s="242" t="s">
        <v>1276</v>
      </c>
      <c r="D695" s="242"/>
      <c r="E695" s="724"/>
      <c r="F695" s="719"/>
      <c r="G695" s="658"/>
      <c r="H695" s="658"/>
    </row>
    <row r="696" spans="1:8" ht="78.75">
      <c r="A696" s="653"/>
      <c r="B696" s="653"/>
      <c r="C696" s="242" t="s">
        <v>1277</v>
      </c>
      <c r="D696" s="242"/>
      <c r="E696" s="724"/>
      <c r="F696" s="719"/>
      <c r="G696" s="658"/>
      <c r="H696" s="658"/>
    </row>
    <row r="697" spans="1:8" ht="31.5">
      <c r="A697" s="653"/>
      <c r="B697" s="653"/>
      <c r="C697" s="242" t="s">
        <v>1278</v>
      </c>
      <c r="D697" s="242"/>
      <c r="E697" s="724"/>
      <c r="F697" s="719"/>
      <c r="G697" s="658"/>
      <c r="H697" s="658"/>
    </row>
    <row r="698" spans="1:8" ht="63">
      <c r="A698" s="653"/>
      <c r="B698" s="653"/>
      <c r="C698" s="242" t="s">
        <v>1279</v>
      </c>
      <c r="D698" s="242"/>
      <c r="E698" s="724"/>
      <c r="F698" s="719"/>
      <c r="G698" s="658"/>
      <c r="H698" s="658"/>
    </row>
    <row r="699" spans="1:8" ht="47.25">
      <c r="A699" s="653"/>
      <c r="B699" s="653"/>
      <c r="C699" s="242" t="s">
        <v>1933</v>
      </c>
      <c r="D699" s="678"/>
      <c r="E699" s="656"/>
      <c r="F699" s="719"/>
      <c r="G699" s="658"/>
      <c r="H699" s="658"/>
    </row>
    <row r="700" spans="1:8" ht="47.25">
      <c r="A700" s="653"/>
      <c r="B700" s="653"/>
      <c r="C700" s="242" t="s">
        <v>1438</v>
      </c>
      <c r="D700" s="678"/>
      <c r="E700" s="656"/>
      <c r="F700" s="719"/>
      <c r="G700" s="658"/>
      <c r="H700" s="658"/>
    </row>
    <row r="701" spans="1:8" ht="31.5">
      <c r="A701" s="653"/>
      <c r="B701" s="653"/>
      <c r="C701" s="242" t="s">
        <v>474</v>
      </c>
      <c r="D701" s="678"/>
      <c r="E701" s="656"/>
      <c r="F701" s="719"/>
      <c r="G701" s="658"/>
      <c r="H701" s="658"/>
    </row>
    <row r="702" spans="1:8">
      <c r="A702" s="653"/>
      <c r="B702" s="653"/>
      <c r="C702" s="242" t="s">
        <v>410</v>
      </c>
      <c r="D702" s="678" t="s">
        <v>399</v>
      </c>
      <c r="E702" s="656">
        <f>'Specifikacija-Racun'!I286</f>
        <v>486.96899999999994</v>
      </c>
      <c r="F702" s="719">
        <v>16</v>
      </c>
      <c r="G702" s="658"/>
      <c r="H702" s="658"/>
    </row>
    <row r="703" spans="1:8">
      <c r="A703" s="653"/>
      <c r="B703" s="653"/>
      <c r="C703" s="242" t="s">
        <v>1043</v>
      </c>
      <c r="D703" s="678"/>
      <c r="E703" s="656"/>
      <c r="F703" s="719"/>
      <c r="G703" s="658"/>
      <c r="H703" s="658"/>
    </row>
    <row r="704" spans="1:8" ht="38.25" customHeight="1">
      <c r="A704" s="653"/>
      <c r="B704" s="653"/>
      <c r="C704" s="242" t="s">
        <v>220</v>
      </c>
      <c r="D704" s="678"/>
      <c r="E704" s="656"/>
      <c r="F704" s="719"/>
      <c r="G704" s="658"/>
      <c r="H704" s="658"/>
    </row>
    <row r="705" spans="1:8" ht="33" customHeight="1">
      <c r="A705" s="653"/>
      <c r="B705" s="653"/>
      <c r="C705" s="242" t="s">
        <v>223</v>
      </c>
      <c r="D705" s="678"/>
      <c r="E705" s="656"/>
      <c r="F705" s="719"/>
      <c r="G705" s="658"/>
      <c r="H705" s="658"/>
    </row>
    <row r="706" spans="1:8">
      <c r="A706" s="653"/>
      <c r="B706" s="653"/>
      <c r="C706" s="242" t="s">
        <v>1045</v>
      </c>
      <c r="D706" s="678"/>
      <c r="E706" s="656"/>
      <c r="F706" s="719"/>
      <c r="G706" s="658"/>
      <c r="H706" s="658"/>
    </row>
    <row r="707" spans="1:8">
      <c r="A707" s="653"/>
      <c r="B707" s="653"/>
      <c r="C707" s="242" t="s">
        <v>221</v>
      </c>
      <c r="D707" s="678"/>
      <c r="E707" s="656"/>
      <c r="F707" s="719"/>
      <c r="G707" s="658"/>
      <c r="H707" s="658"/>
    </row>
    <row r="708" spans="1:8">
      <c r="A708" s="653"/>
      <c r="B708" s="653"/>
      <c r="C708" s="242" t="s">
        <v>222</v>
      </c>
      <c r="D708" s="678"/>
      <c r="E708" s="656"/>
      <c r="F708" s="719"/>
      <c r="G708" s="658"/>
      <c r="H708" s="658"/>
    </row>
    <row r="709" spans="1:8">
      <c r="A709" s="653"/>
      <c r="B709" s="653"/>
      <c r="C709" s="242" t="s">
        <v>1046</v>
      </c>
      <c r="D709" s="678"/>
      <c r="E709" s="656"/>
      <c r="F709" s="719"/>
      <c r="G709" s="658"/>
      <c r="H709" s="658"/>
    </row>
    <row r="710" spans="1:8" ht="31.5">
      <c r="A710" s="653"/>
      <c r="B710" s="653"/>
      <c r="C710" s="242" t="s">
        <v>224</v>
      </c>
      <c r="D710" s="678"/>
      <c r="E710" s="656"/>
      <c r="F710" s="719"/>
      <c r="G710" s="658"/>
      <c r="H710" s="658"/>
    </row>
    <row r="711" spans="1:8" ht="31.5">
      <c r="A711" s="653"/>
      <c r="B711" s="653"/>
      <c r="C711" s="242" t="s">
        <v>225</v>
      </c>
      <c r="D711" s="678"/>
      <c r="E711" s="656"/>
      <c r="F711" s="719"/>
      <c r="G711" s="658"/>
      <c r="H711" s="658"/>
    </row>
    <row r="712" spans="1:8" ht="47.25">
      <c r="A712" s="653" t="s">
        <v>92</v>
      </c>
      <c r="B712" s="653" t="s">
        <v>18</v>
      </c>
      <c r="C712" s="661" t="s">
        <v>1428</v>
      </c>
      <c r="D712" s="678"/>
      <c r="E712" s="656"/>
      <c r="F712" s="657"/>
      <c r="G712" s="658"/>
      <c r="H712" s="658"/>
    </row>
    <row r="713" spans="1:8" ht="110.25">
      <c r="A713" s="653"/>
      <c r="B713" s="653"/>
      <c r="C713" s="242" t="s">
        <v>1282</v>
      </c>
      <c r="D713" s="678"/>
      <c r="E713" s="656"/>
      <c r="F713" s="657"/>
      <c r="G713" s="658"/>
      <c r="H713" s="658"/>
    </row>
    <row r="714" spans="1:8" ht="66.75" customHeight="1">
      <c r="A714" s="653"/>
      <c r="B714" s="653"/>
      <c r="C714" s="242" t="s">
        <v>1283</v>
      </c>
      <c r="D714" s="678"/>
      <c r="E714" s="656"/>
      <c r="F714" s="657"/>
      <c r="G714" s="658"/>
      <c r="H714" s="658"/>
    </row>
    <row r="715" spans="1:8">
      <c r="A715" s="653"/>
      <c r="B715" s="653"/>
      <c r="C715" s="242" t="s">
        <v>1284</v>
      </c>
      <c r="D715" s="678"/>
      <c r="E715" s="656"/>
      <c r="F715" s="657"/>
      <c r="G715" s="658"/>
      <c r="H715" s="658"/>
    </row>
    <row r="716" spans="1:8" ht="81" customHeight="1">
      <c r="A716" s="653"/>
      <c r="B716" s="653"/>
      <c r="C716" s="242" t="s">
        <v>1285</v>
      </c>
      <c r="D716" s="678"/>
      <c r="E716" s="656"/>
      <c r="F716" s="657"/>
      <c r="G716" s="658"/>
      <c r="H716" s="658"/>
    </row>
    <row r="717" spans="1:8" ht="78.75">
      <c r="A717" s="653"/>
      <c r="B717" s="653"/>
      <c r="C717" s="242" t="s">
        <v>1286</v>
      </c>
      <c r="D717" s="678"/>
      <c r="E717" s="656"/>
      <c r="F717" s="657"/>
      <c r="G717" s="658"/>
      <c r="H717" s="658"/>
    </row>
    <row r="718" spans="1:8" ht="31.5">
      <c r="A718" s="653"/>
      <c r="B718" s="653"/>
      <c r="C718" s="242" t="s">
        <v>1287</v>
      </c>
      <c r="D718" s="678"/>
      <c r="E718" s="656"/>
      <c r="F718" s="657"/>
      <c r="G718" s="658"/>
      <c r="H718" s="658"/>
    </row>
    <row r="719" spans="1:8" ht="63">
      <c r="A719" s="653"/>
      <c r="B719" s="653"/>
      <c r="C719" s="242" t="s">
        <v>1457</v>
      </c>
      <c r="D719" s="678"/>
      <c r="E719" s="656"/>
      <c r="F719" s="657"/>
      <c r="G719" s="658"/>
      <c r="H719" s="658"/>
    </row>
    <row r="720" spans="1:8" ht="47.25">
      <c r="A720" s="653"/>
      <c r="B720" s="653"/>
      <c r="C720" s="242" t="s">
        <v>1288</v>
      </c>
      <c r="D720" s="678"/>
      <c r="E720" s="656"/>
      <c r="F720" s="657"/>
      <c r="G720" s="658"/>
      <c r="H720" s="658"/>
    </row>
    <row r="721" spans="1:8" ht="31.5">
      <c r="A721" s="653"/>
      <c r="B721" s="653"/>
      <c r="C721" s="242" t="s">
        <v>1280</v>
      </c>
      <c r="D721" s="678"/>
      <c r="E721" s="656"/>
      <c r="F721" s="657"/>
      <c r="G721" s="658"/>
      <c r="H721" s="658"/>
    </row>
    <row r="722" spans="1:8" ht="31.5">
      <c r="A722" s="653"/>
      <c r="B722" s="653"/>
      <c r="C722" s="242" t="s">
        <v>474</v>
      </c>
      <c r="D722" s="678"/>
      <c r="E722" s="656"/>
      <c r="F722" s="657"/>
      <c r="G722" s="658"/>
      <c r="H722" s="658"/>
    </row>
    <row r="723" spans="1:8" ht="47.25">
      <c r="A723" s="653"/>
      <c r="B723" s="653"/>
      <c r="C723" s="242" t="s">
        <v>1281</v>
      </c>
      <c r="D723" s="678"/>
      <c r="E723" s="682"/>
      <c r="F723" s="657"/>
      <c r="G723" s="658"/>
      <c r="H723" s="658"/>
    </row>
    <row r="724" spans="1:8">
      <c r="A724" s="653"/>
      <c r="B724" s="653"/>
      <c r="C724" s="242" t="s">
        <v>1289</v>
      </c>
      <c r="D724" s="678" t="s">
        <v>399</v>
      </c>
      <c r="E724" s="682">
        <f>'Specifikacija-Racun'!I296</f>
        <v>843.50849999999991</v>
      </c>
      <c r="F724" s="683">
        <v>12</v>
      </c>
      <c r="G724" s="684"/>
      <c r="H724" s="684"/>
    </row>
    <row r="725" spans="1:8">
      <c r="A725" s="653"/>
      <c r="B725" s="653"/>
      <c r="C725" s="242" t="s">
        <v>1043</v>
      </c>
      <c r="D725" s="678"/>
      <c r="E725" s="656"/>
      <c r="F725" s="683"/>
      <c r="G725" s="684"/>
      <c r="H725" s="684"/>
    </row>
    <row r="726" spans="1:8">
      <c r="A726" s="653"/>
      <c r="B726" s="653"/>
      <c r="C726" s="242" t="s">
        <v>227</v>
      </c>
      <c r="D726" s="678"/>
      <c r="E726" s="656"/>
      <c r="F726" s="683"/>
      <c r="G726" s="684"/>
      <c r="H726" s="684"/>
    </row>
    <row r="727" spans="1:8" ht="31.5">
      <c r="A727" s="653"/>
      <c r="B727" s="653"/>
      <c r="C727" s="242" t="s">
        <v>228</v>
      </c>
      <c r="D727" s="678"/>
      <c r="E727" s="656"/>
      <c r="F727" s="683"/>
      <c r="G727" s="684"/>
      <c r="H727" s="684"/>
    </row>
    <row r="728" spans="1:8">
      <c r="A728" s="653"/>
      <c r="B728" s="653"/>
      <c r="C728" s="242" t="s">
        <v>1045</v>
      </c>
      <c r="D728" s="678"/>
      <c r="E728" s="656"/>
      <c r="F728" s="683"/>
      <c r="G728" s="684"/>
      <c r="H728" s="684"/>
    </row>
    <row r="729" spans="1:8" ht="47.25">
      <c r="A729" s="653"/>
      <c r="B729" s="653"/>
      <c r="C729" s="242" t="s">
        <v>229</v>
      </c>
      <c r="D729" s="678"/>
      <c r="E729" s="656"/>
      <c r="F729" s="683"/>
      <c r="G729" s="684"/>
      <c r="H729" s="684"/>
    </row>
    <row r="730" spans="1:8" ht="47.25">
      <c r="A730" s="653"/>
      <c r="B730" s="653"/>
      <c r="C730" s="242" t="s">
        <v>230</v>
      </c>
      <c r="D730" s="678"/>
      <c r="E730" s="656"/>
      <c r="F730" s="683"/>
      <c r="G730" s="684"/>
      <c r="H730" s="684"/>
    </row>
    <row r="731" spans="1:8">
      <c r="A731" s="653"/>
      <c r="B731" s="653"/>
      <c r="C731" s="242" t="s">
        <v>1046</v>
      </c>
      <c r="D731" s="678"/>
      <c r="E731" s="656"/>
      <c r="F731" s="683"/>
      <c r="G731" s="684"/>
      <c r="H731" s="684"/>
    </row>
    <row r="732" spans="1:8" ht="31.5">
      <c r="A732" s="653"/>
      <c r="B732" s="653"/>
      <c r="C732" s="242" t="s">
        <v>231</v>
      </c>
      <c r="D732" s="678"/>
      <c r="E732" s="656"/>
      <c r="F732" s="683"/>
      <c r="G732" s="684"/>
      <c r="H732" s="684"/>
    </row>
    <row r="733" spans="1:8" ht="31.5">
      <c r="A733" s="653"/>
      <c r="B733" s="653"/>
      <c r="C733" s="242" t="s">
        <v>232</v>
      </c>
      <c r="D733" s="678"/>
      <c r="E733" s="656"/>
      <c r="F733" s="683"/>
      <c r="G733" s="684"/>
      <c r="H733" s="684"/>
    </row>
    <row r="734" spans="1:8" ht="31.5">
      <c r="A734" s="653" t="s">
        <v>90</v>
      </c>
      <c r="B734" s="653"/>
      <c r="C734" s="661" t="s">
        <v>1290</v>
      </c>
      <c r="D734" s="678"/>
      <c r="E734" s="656"/>
      <c r="F734" s="657"/>
      <c r="G734" s="658"/>
      <c r="H734" s="658"/>
    </row>
    <row r="735" spans="1:8" ht="31.5">
      <c r="A735" s="653"/>
      <c r="B735" s="653"/>
      <c r="C735" s="242" t="s">
        <v>1291</v>
      </c>
      <c r="D735" s="678"/>
      <c r="E735" s="656"/>
      <c r="F735" s="657"/>
      <c r="G735" s="658"/>
      <c r="H735" s="658"/>
    </row>
    <row r="736" spans="1:8" ht="31.5">
      <c r="A736" s="653"/>
      <c r="B736" s="653"/>
      <c r="C736" s="242" t="s">
        <v>474</v>
      </c>
      <c r="D736" s="678"/>
      <c r="E736" s="656"/>
      <c r="F736" s="657"/>
      <c r="G736" s="658"/>
      <c r="H736" s="658"/>
    </row>
    <row r="737" spans="1:8">
      <c r="A737" s="653"/>
      <c r="B737" s="653"/>
      <c r="C737" s="726" t="s">
        <v>1063</v>
      </c>
      <c r="D737" s="678" t="s">
        <v>468</v>
      </c>
      <c r="E737" s="656">
        <v>60</v>
      </c>
      <c r="F737" s="657">
        <v>3.5</v>
      </c>
      <c r="G737" s="658"/>
      <c r="H737" s="658"/>
    </row>
    <row r="738" spans="1:8" ht="31.5">
      <c r="A738" s="653" t="s">
        <v>1763</v>
      </c>
      <c r="B738" s="653"/>
      <c r="C738" s="661" t="s">
        <v>1292</v>
      </c>
      <c r="D738" s="678"/>
      <c r="E738" s="656"/>
      <c r="F738" s="657"/>
      <c r="G738" s="658"/>
      <c r="H738" s="658"/>
    </row>
    <row r="739" spans="1:8" ht="47.25">
      <c r="A739" s="653"/>
      <c r="B739" s="653"/>
      <c r="C739" s="242" t="s">
        <v>1293</v>
      </c>
      <c r="D739" s="678"/>
      <c r="E739" s="656"/>
      <c r="F739" s="657"/>
      <c r="G739" s="658"/>
      <c r="H739" s="658"/>
    </row>
    <row r="740" spans="1:8" ht="31.5">
      <c r="A740" s="653"/>
      <c r="B740" s="653"/>
      <c r="C740" s="242" t="s">
        <v>474</v>
      </c>
      <c r="D740" s="678"/>
      <c r="E740" s="656"/>
      <c r="F740" s="657"/>
      <c r="G740" s="658"/>
      <c r="H740" s="658"/>
    </row>
    <row r="741" spans="1:8" ht="16.5" thickBot="1">
      <c r="A741" s="653"/>
      <c r="B741" s="653"/>
      <c r="C741" s="685" t="s">
        <v>1063</v>
      </c>
      <c r="D741" s="691" t="s">
        <v>468</v>
      </c>
      <c r="E741" s="673">
        <v>60</v>
      </c>
      <c r="F741" s="687">
        <v>2.85</v>
      </c>
      <c r="G741" s="688"/>
      <c r="H741" s="688"/>
    </row>
    <row r="742" spans="1:8">
      <c r="A742" s="653"/>
      <c r="B742" s="653"/>
      <c r="C742" s="1021" t="s">
        <v>1294</v>
      </c>
      <c r="D742" s="1021"/>
      <c r="E742" s="1021"/>
      <c r="F742" s="1021"/>
      <c r="G742" s="1021"/>
      <c r="H742" s="752"/>
    </row>
    <row r="743" spans="1:8">
      <c r="A743" s="677" t="s">
        <v>80</v>
      </c>
      <c r="B743" s="677"/>
      <c r="C743" s="705" t="s">
        <v>470</v>
      </c>
      <c r="D743" s="678"/>
      <c r="E743" s="656"/>
      <c r="F743" s="657"/>
      <c r="G743" s="658"/>
      <c r="H743" s="658"/>
    </row>
    <row r="744" spans="1:8" ht="6.75" customHeight="1">
      <c r="A744" s="677"/>
      <c r="B744" s="677"/>
      <c r="C744" s="694"/>
      <c r="D744" s="678"/>
      <c r="E744" s="656"/>
      <c r="F744" s="657"/>
      <c r="G744" s="658"/>
      <c r="H744" s="658"/>
    </row>
    <row r="745" spans="1:8">
      <c r="A745" s="653" t="s">
        <v>93</v>
      </c>
      <c r="B745" s="653" t="s">
        <v>20</v>
      </c>
      <c r="C745" s="661" t="s">
        <v>1295</v>
      </c>
      <c r="D745" s="678"/>
      <c r="E745" s="656"/>
      <c r="F745" s="657"/>
      <c r="G745" s="658"/>
      <c r="H745" s="658"/>
    </row>
    <row r="746" spans="1:8" ht="63">
      <c r="A746" s="653"/>
      <c r="B746" s="653"/>
      <c r="C746" s="242" t="s">
        <v>1296</v>
      </c>
      <c r="D746" s="678"/>
      <c r="E746" s="656"/>
      <c r="F746" s="657"/>
      <c r="G746" s="658"/>
      <c r="H746" s="658"/>
    </row>
    <row r="747" spans="1:8" ht="31.5">
      <c r="A747" s="653"/>
      <c r="B747" s="653"/>
      <c r="C747" s="242" t="s">
        <v>1297</v>
      </c>
      <c r="D747" s="678"/>
      <c r="E747" s="656"/>
      <c r="F747" s="657"/>
      <c r="G747" s="658"/>
      <c r="H747" s="658"/>
    </row>
    <row r="748" spans="1:8" ht="78.75">
      <c r="A748" s="653"/>
      <c r="B748" s="653"/>
      <c r="C748" s="242" t="s">
        <v>1298</v>
      </c>
      <c r="D748" s="678"/>
      <c r="E748" s="656"/>
      <c r="F748" s="657"/>
      <c r="G748" s="658"/>
      <c r="H748" s="658"/>
    </row>
    <row r="749" spans="1:8" ht="31.5">
      <c r="A749" s="653"/>
      <c r="B749" s="653"/>
      <c r="C749" s="242" t="s">
        <v>474</v>
      </c>
      <c r="D749" s="678"/>
      <c r="E749" s="656"/>
      <c r="F749" s="719"/>
      <c r="G749" s="658"/>
      <c r="H749" s="658"/>
    </row>
    <row r="750" spans="1:8">
      <c r="A750" s="653"/>
      <c r="B750" s="653"/>
      <c r="C750" s="242" t="s">
        <v>410</v>
      </c>
      <c r="D750" s="678" t="s">
        <v>399</v>
      </c>
      <c r="E750" s="682">
        <f>'Specifikacija-Racun'!I330</f>
        <v>4076.0609999999997</v>
      </c>
      <c r="F750" s="719">
        <v>1.7</v>
      </c>
      <c r="G750" s="658"/>
      <c r="H750" s="658"/>
    </row>
    <row r="751" spans="1:8">
      <c r="A751" s="653"/>
      <c r="B751" s="653"/>
      <c r="C751" s="661" t="s">
        <v>1043</v>
      </c>
      <c r="D751" s="678"/>
      <c r="E751" s="682"/>
      <c r="F751" s="719"/>
      <c r="G751" s="658"/>
      <c r="H751" s="658"/>
    </row>
    <row r="752" spans="1:8">
      <c r="A752" s="653"/>
      <c r="B752" s="653"/>
      <c r="C752" s="242" t="s">
        <v>1299</v>
      </c>
      <c r="D752" s="678"/>
      <c r="E752" s="682"/>
      <c r="F752" s="719"/>
      <c r="G752" s="658"/>
      <c r="H752" s="658"/>
    </row>
    <row r="753" spans="1:8" ht="63">
      <c r="A753" s="653"/>
      <c r="B753" s="653"/>
      <c r="C753" s="242" t="s">
        <v>237</v>
      </c>
      <c r="D753" s="678"/>
      <c r="E753" s="682"/>
      <c r="F753" s="719"/>
      <c r="G753" s="658"/>
      <c r="H753" s="658"/>
    </row>
    <row r="754" spans="1:8">
      <c r="A754" s="653"/>
      <c r="B754" s="653"/>
      <c r="C754" s="242" t="s">
        <v>1054</v>
      </c>
      <c r="D754" s="678"/>
      <c r="E754" s="682"/>
      <c r="F754" s="719"/>
      <c r="G754" s="658"/>
      <c r="H754" s="658"/>
    </row>
    <row r="755" spans="1:8" ht="47.25">
      <c r="A755" s="653"/>
      <c r="B755" s="653"/>
      <c r="C755" s="242" t="s">
        <v>235</v>
      </c>
      <c r="D755" s="678"/>
      <c r="E755" s="682"/>
      <c r="F755" s="719"/>
      <c r="G755" s="658"/>
      <c r="H755" s="658"/>
    </row>
    <row r="756" spans="1:8">
      <c r="A756" s="653"/>
      <c r="B756" s="653"/>
      <c r="C756" s="242" t="s">
        <v>1300</v>
      </c>
      <c r="D756" s="678"/>
      <c r="E756" s="682"/>
      <c r="F756" s="719"/>
      <c r="G756" s="658"/>
      <c r="H756" s="658"/>
    </row>
    <row r="757" spans="1:8" ht="69.75" customHeight="1">
      <c r="A757" s="653"/>
      <c r="B757" s="653"/>
      <c r="C757" s="242" t="s">
        <v>245</v>
      </c>
      <c r="D757" s="678"/>
      <c r="E757" s="682"/>
      <c r="F757" s="719"/>
      <c r="G757" s="658"/>
      <c r="H757" s="658"/>
    </row>
    <row r="758" spans="1:8">
      <c r="A758" s="653"/>
      <c r="B758" s="653"/>
      <c r="C758" s="661" t="s">
        <v>1394</v>
      </c>
      <c r="D758" s="678"/>
      <c r="E758" s="682"/>
      <c r="F758" s="719"/>
      <c r="G758" s="658"/>
      <c r="H758" s="658"/>
    </row>
    <row r="759" spans="1:8">
      <c r="A759" s="653"/>
      <c r="B759" s="653"/>
      <c r="C759" s="242" t="s">
        <v>1299</v>
      </c>
      <c r="D759" s="678"/>
      <c r="E759" s="682"/>
      <c r="F759" s="719"/>
      <c r="G759" s="658"/>
      <c r="H759" s="658"/>
    </row>
    <row r="760" spans="1:8" ht="63">
      <c r="A760" s="653"/>
      <c r="B760" s="653"/>
      <c r="C760" s="242" t="s">
        <v>236</v>
      </c>
      <c r="D760" s="678"/>
      <c r="E760" s="682"/>
      <c r="F760" s="719"/>
      <c r="G760" s="658"/>
      <c r="H760" s="658"/>
    </row>
    <row r="761" spans="1:8">
      <c r="A761" s="653"/>
      <c r="B761" s="653"/>
      <c r="C761" s="242" t="s">
        <v>1054</v>
      </c>
      <c r="D761" s="678"/>
      <c r="E761" s="682"/>
      <c r="F761" s="719"/>
      <c r="G761" s="658"/>
      <c r="H761" s="658"/>
    </row>
    <row r="762" spans="1:8" ht="47.25">
      <c r="A762" s="653"/>
      <c r="B762" s="653"/>
      <c r="C762" s="242" t="s">
        <v>240</v>
      </c>
      <c r="D762" s="678"/>
      <c r="E762" s="682"/>
      <c r="F762" s="719"/>
      <c r="G762" s="658"/>
      <c r="H762" s="658"/>
    </row>
    <row r="763" spans="1:8">
      <c r="A763" s="653"/>
      <c r="B763" s="653"/>
      <c r="C763" s="242" t="s">
        <v>1300</v>
      </c>
      <c r="D763" s="678"/>
      <c r="E763" s="682"/>
      <c r="F763" s="719"/>
      <c r="G763" s="658"/>
      <c r="H763" s="658"/>
    </row>
    <row r="764" spans="1:8" ht="66.75" customHeight="1">
      <c r="A764" s="653"/>
      <c r="B764" s="653"/>
      <c r="C764" s="242" t="s">
        <v>238</v>
      </c>
      <c r="D764" s="678"/>
      <c r="E764" s="682"/>
      <c r="F764" s="719"/>
      <c r="G764" s="658"/>
      <c r="H764" s="658"/>
    </row>
    <row r="765" spans="1:8">
      <c r="A765" s="653"/>
      <c r="B765" s="653"/>
      <c r="C765" s="661" t="s">
        <v>1395</v>
      </c>
      <c r="D765" s="678"/>
      <c r="E765" s="682"/>
      <c r="F765" s="719"/>
      <c r="G765" s="658"/>
      <c r="H765" s="658"/>
    </row>
    <row r="766" spans="1:8">
      <c r="A766" s="653"/>
      <c r="B766" s="653"/>
      <c r="C766" s="242" t="s">
        <v>1299</v>
      </c>
      <c r="D766" s="678"/>
      <c r="E766" s="682"/>
      <c r="F766" s="719"/>
      <c r="G766" s="658"/>
      <c r="H766" s="658"/>
    </row>
    <row r="767" spans="1:8" ht="63">
      <c r="A767" s="653"/>
      <c r="B767" s="653"/>
      <c r="C767" s="242" t="s">
        <v>239</v>
      </c>
      <c r="D767" s="678"/>
      <c r="E767" s="682"/>
      <c r="F767" s="719"/>
      <c r="G767" s="658"/>
      <c r="H767" s="658"/>
    </row>
    <row r="768" spans="1:8">
      <c r="A768" s="653"/>
      <c r="B768" s="653"/>
      <c r="C768" s="242" t="s">
        <v>1054</v>
      </c>
      <c r="D768" s="678"/>
      <c r="E768" s="682"/>
      <c r="F768" s="719"/>
      <c r="G768" s="658"/>
      <c r="H768" s="658"/>
    </row>
    <row r="769" spans="1:8" ht="47.25">
      <c r="A769" s="653"/>
      <c r="B769" s="653"/>
      <c r="C769" s="242" t="s">
        <v>241</v>
      </c>
      <c r="D769" s="678"/>
      <c r="E769" s="682"/>
      <c r="F769" s="719"/>
      <c r="G769" s="658"/>
      <c r="H769" s="658"/>
    </row>
    <row r="770" spans="1:8">
      <c r="A770" s="653"/>
      <c r="B770" s="653"/>
      <c r="C770" s="242" t="s">
        <v>1300</v>
      </c>
      <c r="D770" s="678"/>
      <c r="E770" s="682"/>
      <c r="F770" s="719"/>
      <c r="G770" s="658"/>
      <c r="H770" s="658"/>
    </row>
    <row r="771" spans="1:8" ht="78.75">
      <c r="A771" s="653"/>
      <c r="B771" s="653"/>
      <c r="C771" s="242" t="s">
        <v>242</v>
      </c>
      <c r="D771" s="678"/>
      <c r="E771" s="682"/>
      <c r="F771" s="719"/>
      <c r="G771" s="658"/>
      <c r="H771" s="658"/>
    </row>
    <row r="772" spans="1:8" ht="47.25">
      <c r="A772" s="653" t="s">
        <v>94</v>
      </c>
      <c r="B772" s="653"/>
      <c r="C772" s="661" t="s">
        <v>1301</v>
      </c>
      <c r="D772" s="678"/>
      <c r="E772" s="656"/>
      <c r="F772" s="657"/>
      <c r="G772" s="658"/>
      <c r="H772" s="658"/>
    </row>
    <row r="773" spans="1:8" ht="78.75">
      <c r="A773" s="653"/>
      <c r="B773" s="653"/>
      <c r="C773" s="242" t="s">
        <v>1934</v>
      </c>
      <c r="D773" s="678"/>
      <c r="E773" s="656"/>
      <c r="F773" s="657"/>
      <c r="G773" s="658"/>
      <c r="H773" s="658"/>
    </row>
    <row r="774" spans="1:8" ht="35.25" customHeight="1">
      <c r="A774" s="653"/>
      <c r="B774" s="653"/>
      <c r="C774" s="242" t="s">
        <v>474</v>
      </c>
      <c r="D774" s="678"/>
      <c r="E774" s="656"/>
      <c r="F774" s="657"/>
      <c r="G774" s="658"/>
      <c r="H774" s="658"/>
    </row>
    <row r="775" spans="1:8" ht="19.5" customHeight="1">
      <c r="A775" s="653"/>
      <c r="B775" s="653"/>
      <c r="C775" s="242" t="s">
        <v>410</v>
      </c>
      <c r="D775" s="678" t="s">
        <v>399</v>
      </c>
      <c r="E775" s="682">
        <f>'Specifikacija-Racun'!I347</f>
        <v>2873.2309999999993</v>
      </c>
      <c r="F775" s="719">
        <v>2.1</v>
      </c>
      <c r="G775" s="658"/>
      <c r="H775" s="658"/>
    </row>
    <row r="776" spans="1:8">
      <c r="A776" s="653"/>
      <c r="B776" s="653"/>
      <c r="C776" s="661" t="s">
        <v>1043</v>
      </c>
      <c r="D776" s="678"/>
      <c r="E776" s="682"/>
      <c r="F776" s="719"/>
      <c r="G776" s="658"/>
      <c r="H776" s="658"/>
    </row>
    <row r="777" spans="1:8">
      <c r="A777" s="653"/>
      <c r="B777" s="653"/>
      <c r="C777" s="242" t="s">
        <v>1299</v>
      </c>
      <c r="D777" s="678"/>
      <c r="E777" s="682"/>
      <c r="F777" s="719"/>
      <c r="G777" s="658"/>
      <c r="H777" s="658"/>
    </row>
    <row r="778" spans="1:8" ht="63">
      <c r="A778" s="653"/>
      <c r="B778" s="653"/>
      <c r="C778" s="242" t="s">
        <v>237</v>
      </c>
      <c r="D778" s="678"/>
      <c r="E778" s="682"/>
      <c r="F778" s="719"/>
      <c r="G778" s="658"/>
      <c r="H778" s="658"/>
    </row>
    <row r="779" spans="1:8">
      <c r="A779" s="653"/>
      <c r="B779" s="653"/>
      <c r="C779" s="242" t="s">
        <v>1054</v>
      </c>
      <c r="D779" s="678"/>
      <c r="E779" s="682"/>
      <c r="F779" s="719"/>
      <c r="G779" s="658"/>
      <c r="H779" s="658"/>
    </row>
    <row r="780" spans="1:8" ht="47.25">
      <c r="A780" s="653"/>
      <c r="B780" s="653"/>
      <c r="C780" s="242" t="s">
        <v>235</v>
      </c>
      <c r="D780" s="678"/>
      <c r="E780" s="682"/>
      <c r="F780" s="719"/>
      <c r="G780" s="658"/>
      <c r="H780" s="658"/>
    </row>
    <row r="781" spans="1:8">
      <c r="A781" s="653"/>
      <c r="B781" s="653"/>
      <c r="C781" s="661" t="s">
        <v>1394</v>
      </c>
      <c r="D781" s="678"/>
      <c r="E781" s="682"/>
      <c r="F781" s="719"/>
      <c r="G781" s="658"/>
      <c r="H781" s="658"/>
    </row>
    <row r="782" spans="1:8">
      <c r="A782" s="653"/>
      <c r="B782" s="653"/>
      <c r="C782" s="242" t="s">
        <v>1299</v>
      </c>
      <c r="D782" s="678"/>
      <c r="E782" s="682"/>
      <c r="F782" s="719"/>
      <c r="G782" s="658"/>
      <c r="H782" s="658"/>
    </row>
    <row r="783" spans="1:8" ht="63">
      <c r="A783" s="653"/>
      <c r="B783" s="653"/>
      <c r="C783" s="242" t="s">
        <v>236</v>
      </c>
      <c r="D783" s="678"/>
      <c r="E783" s="682"/>
      <c r="F783" s="719"/>
      <c r="G783" s="658"/>
      <c r="H783" s="658"/>
    </row>
    <row r="784" spans="1:8">
      <c r="A784" s="653"/>
      <c r="B784" s="653"/>
      <c r="C784" s="242" t="s">
        <v>1054</v>
      </c>
      <c r="D784" s="678"/>
      <c r="E784" s="682"/>
      <c r="F784" s="719"/>
      <c r="G784" s="658"/>
      <c r="H784" s="658"/>
    </row>
    <row r="785" spans="1:8" ht="47.25">
      <c r="A785" s="653"/>
      <c r="B785" s="653"/>
      <c r="C785" s="242" t="s">
        <v>240</v>
      </c>
      <c r="D785" s="678"/>
      <c r="E785" s="682"/>
      <c r="F785" s="719"/>
      <c r="G785" s="658"/>
      <c r="H785" s="658"/>
    </row>
    <row r="786" spans="1:8">
      <c r="A786" s="653"/>
      <c r="B786" s="653"/>
      <c r="C786" s="661" t="s">
        <v>1395</v>
      </c>
      <c r="D786" s="678"/>
      <c r="E786" s="682"/>
      <c r="F786" s="719"/>
      <c r="G786" s="658"/>
      <c r="H786" s="658"/>
    </row>
    <row r="787" spans="1:8">
      <c r="A787" s="653"/>
      <c r="B787" s="653"/>
      <c r="C787" s="242" t="s">
        <v>1299</v>
      </c>
      <c r="D787" s="678"/>
      <c r="E787" s="682"/>
      <c r="F787" s="719"/>
      <c r="G787" s="658"/>
      <c r="H787" s="658"/>
    </row>
    <row r="788" spans="1:8" ht="63">
      <c r="A788" s="653"/>
      <c r="B788" s="653"/>
      <c r="C788" s="242" t="s">
        <v>239</v>
      </c>
      <c r="D788" s="678"/>
      <c r="E788" s="682"/>
      <c r="F788" s="719"/>
      <c r="G788" s="658"/>
      <c r="H788" s="658"/>
    </row>
    <row r="789" spans="1:8">
      <c r="A789" s="653"/>
      <c r="B789" s="653"/>
      <c r="C789" s="242" t="s">
        <v>1054</v>
      </c>
      <c r="D789" s="678"/>
      <c r="E789" s="682"/>
      <c r="F789" s="719"/>
      <c r="G789" s="658"/>
      <c r="H789" s="658"/>
    </row>
    <row r="790" spans="1:8" ht="63">
      <c r="A790" s="653"/>
      <c r="B790" s="653"/>
      <c r="C790" s="242" t="s">
        <v>282</v>
      </c>
      <c r="D790" s="678"/>
      <c r="E790" s="682"/>
      <c r="F790" s="719"/>
      <c r="G790" s="658"/>
      <c r="H790" s="658"/>
    </row>
    <row r="791" spans="1:8">
      <c r="A791" s="653"/>
      <c r="B791" s="653"/>
      <c r="C791" s="242" t="s">
        <v>1302</v>
      </c>
      <c r="D791" s="678"/>
      <c r="E791" s="682"/>
      <c r="F791" s="719"/>
      <c r="G791" s="658"/>
      <c r="H791" s="658"/>
    </row>
    <row r="792" spans="1:8">
      <c r="A792" s="653"/>
      <c r="B792" s="653"/>
      <c r="C792" s="242" t="s">
        <v>254</v>
      </c>
      <c r="D792" s="678"/>
      <c r="E792" s="682"/>
      <c r="F792" s="719"/>
      <c r="G792" s="658"/>
      <c r="H792" s="658"/>
    </row>
    <row r="793" spans="1:8" ht="31.5">
      <c r="A793" s="653" t="s">
        <v>115</v>
      </c>
      <c r="B793" s="653"/>
      <c r="C793" s="661" t="s">
        <v>1303</v>
      </c>
      <c r="D793" s="678"/>
      <c r="E793" s="656"/>
      <c r="F793" s="657"/>
      <c r="G793" s="658"/>
      <c r="H793" s="658"/>
    </row>
    <row r="794" spans="1:8" ht="78.75">
      <c r="A794" s="653"/>
      <c r="B794" s="653"/>
      <c r="C794" s="242" t="s">
        <v>1934</v>
      </c>
      <c r="D794" s="678"/>
      <c r="E794" s="656"/>
      <c r="F794" s="657"/>
      <c r="G794" s="658"/>
      <c r="H794" s="658"/>
    </row>
    <row r="795" spans="1:8" ht="31.5">
      <c r="A795" s="653"/>
      <c r="B795" s="653"/>
      <c r="C795" s="242" t="s">
        <v>474</v>
      </c>
      <c r="D795" s="678"/>
      <c r="E795" s="656"/>
      <c r="F795" s="657"/>
      <c r="G795" s="658"/>
      <c r="H795" s="658"/>
    </row>
    <row r="796" spans="1:8">
      <c r="A796" s="653"/>
      <c r="B796" s="653"/>
      <c r="C796" s="242" t="s">
        <v>410</v>
      </c>
      <c r="D796" s="678" t="s">
        <v>399</v>
      </c>
      <c r="E796" s="656">
        <f>'Specifikacija-Racun'!I357</f>
        <v>1268.0425</v>
      </c>
      <c r="F796" s="657">
        <v>1.5</v>
      </c>
      <c r="G796" s="658"/>
      <c r="H796" s="658"/>
    </row>
    <row r="797" spans="1:8">
      <c r="A797" s="653"/>
      <c r="B797" s="653"/>
      <c r="C797" s="661" t="s">
        <v>1043</v>
      </c>
      <c r="D797" s="678"/>
      <c r="E797" s="656"/>
      <c r="F797" s="657"/>
      <c r="G797" s="658"/>
      <c r="H797" s="658"/>
    </row>
    <row r="798" spans="1:8" ht="69" customHeight="1">
      <c r="A798" s="653"/>
      <c r="B798" s="653"/>
      <c r="C798" s="242" t="s">
        <v>245</v>
      </c>
      <c r="D798" s="678"/>
      <c r="E798" s="656"/>
      <c r="F798" s="657"/>
      <c r="G798" s="658"/>
      <c r="H798" s="658"/>
    </row>
    <row r="799" spans="1:8">
      <c r="A799" s="653"/>
      <c r="B799" s="653"/>
      <c r="C799" s="661" t="s">
        <v>1394</v>
      </c>
      <c r="D799" s="678"/>
      <c r="E799" s="656"/>
      <c r="F799" s="657"/>
      <c r="G799" s="658"/>
      <c r="H799" s="658"/>
    </row>
    <row r="800" spans="1:8" ht="65.25" customHeight="1">
      <c r="A800" s="653"/>
      <c r="B800" s="653"/>
      <c r="C800" s="242" t="s">
        <v>238</v>
      </c>
      <c r="D800" s="678"/>
      <c r="E800" s="656"/>
      <c r="F800" s="657"/>
      <c r="G800" s="658"/>
      <c r="H800" s="658"/>
    </row>
    <row r="801" spans="1:8">
      <c r="A801" s="653"/>
      <c r="B801" s="653"/>
      <c r="C801" s="661" t="s">
        <v>1395</v>
      </c>
      <c r="D801" s="678"/>
      <c r="E801" s="656"/>
      <c r="F801" s="657"/>
      <c r="G801" s="658"/>
      <c r="H801" s="658"/>
    </row>
    <row r="802" spans="1:8" ht="78.75">
      <c r="A802" s="653"/>
      <c r="B802" s="653"/>
      <c r="C802" s="242" t="s">
        <v>242</v>
      </c>
      <c r="D802" s="678"/>
      <c r="E802" s="656"/>
      <c r="F802" s="657"/>
      <c r="G802" s="658"/>
      <c r="H802" s="658"/>
    </row>
    <row r="803" spans="1:8">
      <c r="A803" s="653"/>
      <c r="B803" s="653"/>
      <c r="C803" s="242" t="s">
        <v>1302</v>
      </c>
      <c r="D803" s="678"/>
      <c r="E803" s="656"/>
      <c r="F803" s="657"/>
      <c r="G803" s="658"/>
      <c r="H803" s="658"/>
    </row>
    <row r="804" spans="1:8">
      <c r="A804" s="653"/>
      <c r="B804" s="653"/>
      <c r="C804" s="666" t="s">
        <v>255</v>
      </c>
      <c r="D804" s="678"/>
      <c r="E804" s="656"/>
      <c r="F804" s="657"/>
      <c r="G804" s="658"/>
      <c r="H804" s="658"/>
    </row>
    <row r="805" spans="1:8" ht="31.5">
      <c r="A805" s="653" t="s">
        <v>1764</v>
      </c>
      <c r="B805" s="653"/>
      <c r="C805" s="661" t="s">
        <v>1304</v>
      </c>
      <c r="D805" s="678"/>
      <c r="E805" s="656"/>
      <c r="F805" s="657"/>
      <c r="G805" s="658"/>
      <c r="H805" s="658"/>
    </row>
    <row r="806" spans="1:8" ht="63" customHeight="1">
      <c r="A806" s="653"/>
      <c r="B806" s="653"/>
      <c r="C806" s="242" t="s">
        <v>1935</v>
      </c>
      <c r="D806" s="678"/>
      <c r="E806" s="656"/>
      <c r="F806" s="657"/>
      <c r="G806" s="658"/>
      <c r="H806" s="658"/>
    </row>
    <row r="807" spans="1:8" ht="31.5">
      <c r="A807" s="653"/>
      <c r="B807" s="653"/>
      <c r="C807" s="242" t="s">
        <v>474</v>
      </c>
      <c r="D807" s="678"/>
      <c r="E807" s="656"/>
      <c r="F807" s="657"/>
      <c r="G807" s="658"/>
      <c r="H807" s="658"/>
    </row>
    <row r="808" spans="1:8">
      <c r="A808" s="653"/>
      <c r="B808" s="653"/>
      <c r="C808" s="242" t="s">
        <v>410</v>
      </c>
      <c r="D808" s="678" t="s">
        <v>399</v>
      </c>
      <c r="E808" s="656">
        <f>'Specifikacija-Racun'!I383</f>
        <v>2969.1522999999993</v>
      </c>
      <c r="F808" s="657">
        <v>0.9</v>
      </c>
      <c r="G808" s="658"/>
      <c r="H808" s="658"/>
    </row>
    <row r="809" spans="1:8">
      <c r="A809" s="653"/>
      <c r="B809" s="653"/>
      <c r="C809" s="661" t="s">
        <v>1043</v>
      </c>
      <c r="D809" s="678"/>
      <c r="E809" s="656"/>
      <c r="F809" s="657"/>
      <c r="G809" s="658"/>
      <c r="H809" s="658"/>
    </row>
    <row r="810" spans="1:8">
      <c r="A810" s="653"/>
      <c r="B810" s="653"/>
      <c r="C810" s="242" t="s">
        <v>1299</v>
      </c>
      <c r="D810" s="678"/>
      <c r="E810" s="656"/>
      <c r="F810" s="657"/>
      <c r="G810" s="658"/>
      <c r="H810" s="658"/>
    </row>
    <row r="811" spans="1:8" ht="63">
      <c r="A811" s="653"/>
      <c r="B811" s="653"/>
      <c r="C811" s="242" t="s">
        <v>247</v>
      </c>
      <c r="D811" s="678"/>
      <c r="E811" s="656"/>
      <c r="F811" s="657"/>
      <c r="G811" s="658"/>
      <c r="H811" s="658"/>
    </row>
    <row r="812" spans="1:8">
      <c r="A812" s="653"/>
      <c r="B812" s="653"/>
      <c r="C812" s="242" t="s">
        <v>1300</v>
      </c>
      <c r="D812" s="678"/>
      <c r="E812" s="656"/>
      <c r="F812" s="657"/>
      <c r="G812" s="658"/>
      <c r="H812" s="658"/>
    </row>
    <row r="813" spans="1:8" ht="63">
      <c r="A813" s="653"/>
      <c r="B813" s="653"/>
      <c r="C813" s="242" t="s">
        <v>248</v>
      </c>
      <c r="D813" s="678"/>
      <c r="E813" s="656"/>
      <c r="F813" s="657"/>
      <c r="G813" s="658"/>
      <c r="H813" s="658"/>
    </row>
    <row r="814" spans="1:8">
      <c r="A814" s="653"/>
      <c r="B814" s="653"/>
      <c r="C814" s="661" t="s">
        <v>1394</v>
      </c>
      <c r="D814" s="678"/>
      <c r="E814" s="656"/>
      <c r="F814" s="657"/>
      <c r="G814" s="658"/>
      <c r="H814" s="658"/>
    </row>
    <row r="815" spans="1:8">
      <c r="A815" s="653"/>
      <c r="B815" s="653"/>
      <c r="C815" s="242" t="s">
        <v>1299</v>
      </c>
      <c r="D815" s="678"/>
      <c r="E815" s="656"/>
      <c r="F815" s="657"/>
      <c r="G815" s="658"/>
      <c r="H815" s="658"/>
    </row>
    <row r="816" spans="1:8" ht="63">
      <c r="A816" s="653"/>
      <c r="B816" s="653"/>
      <c r="C816" s="242" t="s">
        <v>249</v>
      </c>
      <c r="D816" s="678"/>
      <c r="E816" s="656"/>
      <c r="F816" s="657"/>
      <c r="G816" s="658"/>
      <c r="H816" s="658"/>
    </row>
    <row r="817" spans="1:8">
      <c r="A817" s="653"/>
      <c r="B817" s="653"/>
      <c r="C817" s="242" t="s">
        <v>1300</v>
      </c>
      <c r="D817" s="678"/>
      <c r="E817" s="656"/>
      <c r="F817" s="657"/>
      <c r="G817" s="658"/>
      <c r="H817" s="658"/>
    </row>
    <row r="818" spans="1:8" ht="63">
      <c r="A818" s="653"/>
      <c r="B818" s="653"/>
      <c r="C818" s="242" t="s">
        <v>250</v>
      </c>
      <c r="D818" s="678"/>
      <c r="E818" s="656"/>
      <c r="F818" s="657"/>
      <c r="G818" s="658"/>
      <c r="H818" s="658"/>
    </row>
    <row r="819" spans="1:8">
      <c r="A819" s="653"/>
      <c r="B819" s="653"/>
      <c r="C819" s="661" t="s">
        <v>1395</v>
      </c>
      <c r="D819" s="678"/>
      <c r="E819" s="656"/>
      <c r="F819" s="657"/>
      <c r="G819" s="658"/>
      <c r="H819" s="658"/>
    </row>
    <row r="820" spans="1:8">
      <c r="A820" s="653"/>
      <c r="B820" s="653"/>
      <c r="C820" s="242" t="s">
        <v>1299</v>
      </c>
      <c r="D820" s="678"/>
      <c r="E820" s="656"/>
      <c r="F820" s="657"/>
      <c r="G820" s="658"/>
      <c r="H820" s="658"/>
    </row>
    <row r="821" spans="1:8" ht="63">
      <c r="A821" s="653"/>
      <c r="B821" s="653"/>
      <c r="C821" s="242" t="s">
        <v>239</v>
      </c>
      <c r="D821" s="678"/>
      <c r="E821" s="656"/>
      <c r="F821" s="657"/>
      <c r="G821" s="658"/>
      <c r="H821" s="658"/>
    </row>
    <row r="822" spans="1:8">
      <c r="A822" s="653"/>
      <c r="B822" s="653"/>
      <c r="C822" s="242" t="s">
        <v>1300</v>
      </c>
      <c r="D822" s="678"/>
      <c r="E822" s="656"/>
      <c r="F822" s="657"/>
      <c r="G822" s="658"/>
      <c r="H822" s="658"/>
    </row>
    <row r="823" spans="1:8" ht="63">
      <c r="A823" s="653"/>
      <c r="B823" s="653"/>
      <c r="C823" s="242" t="s">
        <v>251</v>
      </c>
      <c r="D823" s="678"/>
      <c r="E823" s="656"/>
      <c r="F823" s="657"/>
      <c r="G823" s="658"/>
      <c r="H823" s="658"/>
    </row>
    <row r="824" spans="1:8">
      <c r="A824" s="653"/>
      <c r="B824" s="653"/>
      <c r="C824" s="242" t="s">
        <v>1305</v>
      </c>
      <c r="D824" s="678"/>
      <c r="E824" s="656"/>
      <c r="F824" s="657"/>
      <c r="G824" s="658"/>
      <c r="H824" s="658"/>
    </row>
    <row r="825" spans="1:8" ht="16.5" thickBot="1">
      <c r="A825" s="653"/>
      <c r="B825" s="653"/>
      <c r="C825" s="685" t="s">
        <v>253</v>
      </c>
      <c r="D825" s="691"/>
      <c r="E825" s="673"/>
      <c r="F825" s="687"/>
      <c r="G825" s="688"/>
      <c r="H825" s="688"/>
    </row>
    <row r="826" spans="1:8">
      <c r="A826" s="653"/>
      <c r="B826" s="653"/>
      <c r="C826" s="1021" t="s">
        <v>486</v>
      </c>
      <c r="D826" s="1021"/>
      <c r="E826" s="1021"/>
      <c r="F826" s="1021"/>
      <c r="G826" s="1021"/>
      <c r="H826" s="754"/>
    </row>
    <row r="827" spans="1:8">
      <c r="A827" s="653"/>
      <c r="B827" s="653"/>
      <c r="C827" s="675"/>
      <c r="D827" s="675"/>
      <c r="E827" s="675"/>
      <c r="F827" s="675"/>
      <c r="G827" s="675"/>
      <c r="H827" s="675"/>
    </row>
    <row r="828" spans="1:8">
      <c r="A828" s="677" t="s">
        <v>95</v>
      </c>
      <c r="B828" s="653" t="s">
        <v>23</v>
      </c>
      <c r="C828" s="705" t="s">
        <v>1306</v>
      </c>
      <c r="D828" s="678"/>
      <c r="E828" s="656"/>
      <c r="F828" s="657"/>
      <c r="G828" s="658"/>
      <c r="H828" s="658"/>
    </row>
    <row r="829" spans="1:8" ht="31.5">
      <c r="A829" s="653" t="s">
        <v>96</v>
      </c>
      <c r="B829" s="653"/>
      <c r="C829" s="661" t="s">
        <v>1307</v>
      </c>
      <c r="D829" s="678"/>
      <c r="E829" s="656"/>
      <c r="F829" s="657"/>
      <c r="G829" s="658"/>
      <c r="H829" s="658"/>
    </row>
    <row r="830" spans="1:8" ht="84.75" customHeight="1">
      <c r="A830" s="653"/>
      <c r="B830" s="653"/>
      <c r="C830" s="242" t="s">
        <v>1445</v>
      </c>
      <c r="D830" s="678"/>
      <c r="E830" s="656"/>
      <c r="F830" s="657"/>
      <c r="G830" s="658"/>
      <c r="H830" s="658"/>
    </row>
    <row r="831" spans="1:8" ht="53.25" customHeight="1">
      <c r="A831" s="653"/>
      <c r="B831" s="653"/>
      <c r="C831" s="242" t="s">
        <v>1308</v>
      </c>
      <c r="D831" s="678"/>
      <c r="E831" s="656"/>
      <c r="F831" s="657"/>
      <c r="G831" s="658"/>
      <c r="H831" s="658"/>
    </row>
    <row r="832" spans="1:8" ht="47.25">
      <c r="A832" s="653"/>
      <c r="B832" s="653"/>
      <c r="C832" s="242" t="s">
        <v>1446</v>
      </c>
      <c r="D832" s="678"/>
      <c r="E832" s="656"/>
      <c r="F832" s="657"/>
      <c r="G832" s="658"/>
      <c r="H832" s="658"/>
    </row>
    <row r="833" spans="1:8" ht="31.5">
      <c r="A833" s="653"/>
      <c r="B833" s="653"/>
      <c r="C833" s="242" t="s">
        <v>1309</v>
      </c>
      <c r="D833" s="678"/>
      <c r="E833" s="656"/>
      <c r="F833" s="657"/>
      <c r="G833" s="658"/>
      <c r="H833" s="658"/>
    </row>
    <row r="834" spans="1:8" ht="36.75" customHeight="1">
      <c r="A834" s="653"/>
      <c r="B834" s="653"/>
      <c r="C834" s="242" t="s">
        <v>1310</v>
      </c>
      <c r="D834" s="678"/>
      <c r="E834" s="656"/>
      <c r="F834" s="657"/>
      <c r="G834" s="658"/>
      <c r="H834" s="658"/>
    </row>
    <row r="835" spans="1:8">
      <c r="A835" s="653"/>
      <c r="B835" s="653"/>
      <c r="C835" s="242" t="s">
        <v>1311</v>
      </c>
      <c r="D835" s="678"/>
      <c r="E835" s="656"/>
      <c r="F835" s="657"/>
      <c r="G835" s="658"/>
      <c r="H835" s="658"/>
    </row>
    <row r="836" spans="1:8" ht="31.5">
      <c r="A836" s="653"/>
      <c r="B836" s="653"/>
      <c r="C836" s="242" t="s">
        <v>474</v>
      </c>
      <c r="D836" s="678"/>
      <c r="E836" s="656"/>
      <c r="F836" s="657"/>
      <c r="G836" s="658"/>
      <c r="H836" s="658"/>
    </row>
    <row r="837" spans="1:8">
      <c r="A837" s="653"/>
      <c r="B837" s="653"/>
      <c r="C837" s="242" t="s">
        <v>1312</v>
      </c>
      <c r="D837" s="678" t="s">
        <v>399</v>
      </c>
      <c r="E837" s="656">
        <f>'Specifikacija-Racun'!I392</f>
        <v>226.86599999999999</v>
      </c>
      <c r="F837" s="657">
        <v>17</v>
      </c>
      <c r="G837" s="658"/>
      <c r="H837" s="658"/>
    </row>
    <row r="838" spans="1:8">
      <c r="A838" s="653"/>
      <c r="B838" s="653"/>
      <c r="C838" s="242" t="s">
        <v>257</v>
      </c>
      <c r="D838" s="678"/>
      <c r="E838" s="656"/>
      <c r="F838" s="657"/>
      <c r="G838" s="658"/>
      <c r="H838" s="658"/>
    </row>
    <row r="839" spans="1:8">
      <c r="A839" s="653"/>
      <c r="B839" s="653"/>
      <c r="C839" s="242" t="s">
        <v>1054</v>
      </c>
      <c r="D839" s="678"/>
      <c r="E839" s="656"/>
      <c r="F839" s="657"/>
      <c r="G839" s="658"/>
      <c r="H839" s="658"/>
    </row>
    <row r="840" spans="1:8">
      <c r="A840" s="653"/>
      <c r="B840" s="653"/>
      <c r="C840" s="242" t="s">
        <v>259</v>
      </c>
      <c r="D840" s="678"/>
      <c r="E840" s="656"/>
      <c r="F840" s="657"/>
      <c r="G840" s="658"/>
      <c r="H840" s="658"/>
    </row>
    <row r="841" spans="1:8">
      <c r="A841" s="653"/>
      <c r="B841" s="653"/>
      <c r="C841" s="242" t="s">
        <v>258</v>
      </c>
      <c r="D841" s="678"/>
      <c r="E841" s="656"/>
      <c r="F841" s="657"/>
      <c r="G841" s="658"/>
      <c r="H841" s="658"/>
    </row>
    <row r="842" spans="1:8">
      <c r="A842" s="653"/>
      <c r="B842" s="653"/>
      <c r="C842" s="242" t="s">
        <v>260</v>
      </c>
      <c r="D842" s="678"/>
      <c r="E842" s="656"/>
      <c r="F842" s="657"/>
      <c r="G842" s="658"/>
      <c r="H842" s="658"/>
    </row>
    <row r="843" spans="1:8" ht="78.75">
      <c r="A843" s="653" t="s">
        <v>1765</v>
      </c>
      <c r="B843" s="653"/>
      <c r="C843" s="661" t="s">
        <v>1443</v>
      </c>
      <c r="D843" s="678"/>
      <c r="E843" s="656"/>
      <c r="F843" s="657"/>
      <c r="G843" s="658"/>
      <c r="H843" s="658"/>
    </row>
    <row r="844" spans="1:8" ht="236.25">
      <c r="A844" s="653"/>
      <c r="B844" s="653"/>
      <c r="C844" s="242" t="s">
        <v>1447</v>
      </c>
      <c r="D844" s="678"/>
      <c r="E844" s="656"/>
      <c r="F844" s="657"/>
      <c r="G844" s="658"/>
      <c r="H844" s="658"/>
    </row>
    <row r="845" spans="1:8" ht="47.25">
      <c r="A845" s="653"/>
      <c r="B845" s="653"/>
      <c r="C845" s="242" t="s">
        <v>1448</v>
      </c>
      <c r="D845" s="678"/>
      <c r="E845" s="656"/>
      <c r="F845" s="657"/>
      <c r="G845" s="658"/>
      <c r="H845" s="658"/>
    </row>
    <row r="846" spans="1:8">
      <c r="A846" s="653"/>
      <c r="B846" s="653"/>
      <c r="C846" s="242"/>
      <c r="D846" s="678"/>
      <c r="E846" s="656"/>
      <c r="F846" s="657"/>
      <c r="G846" s="658"/>
      <c r="H846" s="658"/>
    </row>
    <row r="847" spans="1:8" ht="47.25">
      <c r="A847" s="653"/>
      <c r="B847" s="653"/>
      <c r="C847" s="242" t="s">
        <v>1442</v>
      </c>
      <c r="D847" s="678"/>
      <c r="E847" s="656"/>
      <c r="F847" s="657"/>
      <c r="G847" s="658"/>
      <c r="H847" s="658"/>
    </row>
    <row r="848" spans="1:8">
      <c r="A848" s="653"/>
      <c r="B848" s="653"/>
      <c r="C848" s="644"/>
      <c r="D848" s="678"/>
      <c r="E848" s="656"/>
      <c r="F848" s="657"/>
      <c r="G848" s="658"/>
      <c r="H848" s="658"/>
    </row>
    <row r="849" spans="1:8" ht="31.5">
      <c r="A849" s="653"/>
      <c r="B849" s="653"/>
      <c r="C849" s="242" t="s">
        <v>1313</v>
      </c>
      <c r="D849" s="678"/>
      <c r="E849" s="656"/>
      <c r="F849" s="657"/>
      <c r="G849" s="658"/>
      <c r="H849" s="658"/>
    </row>
    <row r="850" spans="1:8">
      <c r="A850" s="653"/>
      <c r="B850" s="653"/>
      <c r="C850" s="242" t="s">
        <v>1218</v>
      </c>
      <c r="D850" s="678" t="s">
        <v>399</v>
      </c>
      <c r="E850" s="682">
        <f>'Specifikacija-Racun'!I397</f>
        <v>478.95479999999998</v>
      </c>
      <c r="F850" s="657">
        <v>120</v>
      </c>
      <c r="G850" s="658"/>
      <c r="H850" s="658"/>
    </row>
    <row r="851" spans="1:8" ht="31.5">
      <c r="A851" s="653"/>
      <c r="B851" s="653"/>
      <c r="C851" s="242" t="s">
        <v>265</v>
      </c>
      <c r="D851" s="678"/>
      <c r="E851" s="656"/>
      <c r="F851" s="657"/>
      <c r="G851" s="658"/>
      <c r="H851" s="658"/>
    </row>
    <row r="852" spans="1:8">
      <c r="A852" s="653"/>
      <c r="B852" s="653"/>
      <c r="C852" s="242" t="s">
        <v>1054</v>
      </c>
      <c r="D852" s="678"/>
      <c r="E852" s="656"/>
      <c r="F852" s="657"/>
      <c r="G852" s="658"/>
      <c r="H852" s="658"/>
    </row>
    <row r="853" spans="1:8" ht="31.5">
      <c r="A853" s="653"/>
      <c r="B853" s="653"/>
      <c r="C853" s="242" t="s">
        <v>264</v>
      </c>
      <c r="D853" s="678"/>
      <c r="E853" s="656"/>
      <c r="F853" s="657"/>
      <c r="G853" s="658"/>
      <c r="H853" s="658"/>
    </row>
    <row r="854" spans="1:8" ht="31.5">
      <c r="A854" s="653" t="s">
        <v>1766</v>
      </c>
      <c r="B854" s="677"/>
      <c r="C854" s="661" t="s">
        <v>1444</v>
      </c>
      <c r="D854" s="678"/>
      <c r="E854" s="656"/>
      <c r="F854" s="657"/>
      <c r="G854" s="658"/>
      <c r="H854" s="658"/>
    </row>
    <row r="855" spans="1:8" ht="47.25">
      <c r="A855" s="653"/>
      <c r="B855" s="677"/>
      <c r="C855" s="242" t="s">
        <v>1314</v>
      </c>
      <c r="D855" s="678"/>
      <c r="E855" s="656"/>
      <c r="F855" s="657"/>
      <c r="G855" s="658"/>
      <c r="H855" s="658"/>
    </row>
    <row r="856" spans="1:8" ht="47.25">
      <c r="A856" s="653"/>
      <c r="B856" s="677"/>
      <c r="C856" s="242" t="s">
        <v>1315</v>
      </c>
      <c r="D856" s="678"/>
      <c r="E856" s="656"/>
      <c r="F856" s="657"/>
      <c r="G856" s="658"/>
      <c r="H856" s="658"/>
    </row>
    <row r="857" spans="1:8" ht="47.25">
      <c r="A857" s="653"/>
      <c r="B857" s="677"/>
      <c r="C857" s="242" t="s">
        <v>1316</v>
      </c>
      <c r="D857" s="678"/>
      <c r="E857" s="656"/>
      <c r="F857" s="657"/>
      <c r="G857" s="658"/>
      <c r="H857" s="658"/>
    </row>
    <row r="858" spans="1:8" ht="31.5">
      <c r="A858" s="653"/>
      <c r="B858" s="677"/>
      <c r="C858" s="242" t="s">
        <v>474</v>
      </c>
      <c r="D858" s="678"/>
      <c r="E858" s="656"/>
      <c r="F858" s="657"/>
      <c r="G858" s="658"/>
      <c r="H858" s="658"/>
    </row>
    <row r="859" spans="1:8">
      <c r="A859" s="653"/>
      <c r="B859" s="677"/>
      <c r="C859" s="242" t="s">
        <v>410</v>
      </c>
      <c r="D859" s="678" t="s">
        <v>399</v>
      </c>
      <c r="E859" s="656">
        <f>'Specifikacija-Racun'!I406</f>
        <v>257.39099999999996</v>
      </c>
      <c r="F859" s="657">
        <v>3.25</v>
      </c>
      <c r="G859" s="658"/>
      <c r="H859" s="658"/>
    </row>
    <row r="860" spans="1:8">
      <c r="A860" s="653"/>
      <c r="B860" s="677"/>
      <c r="C860" s="242" t="s">
        <v>1043</v>
      </c>
      <c r="D860" s="678"/>
      <c r="E860" s="656"/>
      <c r="F860" s="657"/>
      <c r="G860" s="658"/>
      <c r="H860" s="658"/>
    </row>
    <row r="861" spans="1:8">
      <c r="A861" s="653"/>
      <c r="B861" s="677"/>
      <c r="C861" s="242" t="s">
        <v>257</v>
      </c>
      <c r="D861" s="678"/>
      <c r="E861" s="656"/>
      <c r="F861" s="657"/>
      <c r="G861" s="658"/>
      <c r="H861" s="658"/>
    </row>
    <row r="862" spans="1:8">
      <c r="A862" s="653"/>
      <c r="B862" s="677"/>
      <c r="C862" s="242" t="s">
        <v>1054</v>
      </c>
      <c r="D862" s="678"/>
      <c r="E862" s="656"/>
      <c r="F862" s="657"/>
      <c r="G862" s="658"/>
      <c r="H862" s="658"/>
    </row>
    <row r="863" spans="1:8">
      <c r="A863" s="653"/>
      <c r="B863" s="677"/>
      <c r="C863" s="242" t="s">
        <v>259</v>
      </c>
      <c r="D863" s="678"/>
      <c r="E863" s="656"/>
      <c r="F863" s="657"/>
      <c r="G863" s="658"/>
      <c r="H863" s="658"/>
    </row>
    <row r="864" spans="1:8">
      <c r="A864" s="653"/>
      <c r="B864" s="677"/>
      <c r="C864" s="242" t="s">
        <v>258</v>
      </c>
      <c r="D864" s="678"/>
      <c r="E864" s="656"/>
      <c r="F864" s="657"/>
      <c r="G864" s="658"/>
      <c r="H864" s="658"/>
    </row>
    <row r="865" spans="1:8">
      <c r="A865" s="653"/>
      <c r="B865" s="677"/>
      <c r="C865" s="242" t="s">
        <v>260</v>
      </c>
      <c r="D865" s="678"/>
      <c r="E865" s="656"/>
      <c r="F865" s="657"/>
      <c r="G865" s="658"/>
      <c r="H865" s="658"/>
    </row>
    <row r="866" spans="1:8">
      <c r="A866" s="653"/>
      <c r="B866" s="677"/>
      <c r="C866" s="242" t="s">
        <v>1077</v>
      </c>
      <c r="D866" s="678"/>
      <c r="E866" s="656"/>
      <c r="F866" s="657"/>
      <c r="G866" s="658"/>
      <c r="H866" s="658"/>
    </row>
    <row r="867" spans="1:8" ht="16.5" thickBot="1">
      <c r="A867" s="653"/>
      <c r="B867" s="677"/>
      <c r="C867" s="685" t="s">
        <v>263</v>
      </c>
      <c r="D867" s="691"/>
      <c r="E867" s="673"/>
      <c r="F867" s="687"/>
      <c r="G867" s="688"/>
      <c r="H867" s="688"/>
    </row>
    <row r="868" spans="1:8">
      <c r="A868" s="677"/>
      <c r="B868" s="677"/>
      <c r="C868" s="1021" t="s">
        <v>1317</v>
      </c>
      <c r="D868" s="1021"/>
      <c r="E868" s="1021"/>
      <c r="F868" s="1021"/>
      <c r="G868" s="1021"/>
      <c r="H868" s="752"/>
    </row>
    <row r="869" spans="1:8" ht="34.5" customHeight="1">
      <c r="A869" s="677"/>
      <c r="B869" s="677"/>
      <c r="C869" s="675"/>
      <c r="D869" s="675"/>
      <c r="E869" s="675"/>
      <c r="F869" s="675"/>
      <c r="G869" s="675"/>
      <c r="H869" s="689"/>
    </row>
    <row r="870" spans="1:8">
      <c r="A870" s="677" t="s">
        <v>367</v>
      </c>
      <c r="B870" s="653" t="s">
        <v>23</v>
      </c>
      <c r="C870" s="705" t="s">
        <v>1318</v>
      </c>
      <c r="D870" s="678"/>
      <c r="E870" s="656"/>
      <c r="F870" s="657"/>
      <c r="G870" s="658"/>
      <c r="H870" s="658"/>
    </row>
    <row r="871" spans="1:8" ht="31.5">
      <c r="A871" s="653" t="s">
        <v>1767</v>
      </c>
      <c r="B871" s="653"/>
      <c r="C871" s="661" t="s">
        <v>1319</v>
      </c>
      <c r="D871" s="678"/>
      <c r="E871" s="656"/>
      <c r="F871" s="657"/>
      <c r="G871" s="658"/>
      <c r="H871" s="658"/>
    </row>
    <row r="872" spans="1:8" ht="63">
      <c r="A872" s="653"/>
      <c r="B872" s="653"/>
      <c r="C872" s="242" t="s">
        <v>1320</v>
      </c>
      <c r="D872" s="678"/>
      <c r="E872" s="656"/>
      <c r="F872" s="657"/>
      <c r="G872" s="658"/>
      <c r="H872" s="658"/>
    </row>
    <row r="873" spans="1:8" ht="31.5">
      <c r="A873" s="653"/>
      <c r="B873" s="653"/>
      <c r="C873" s="242" t="s">
        <v>1321</v>
      </c>
      <c r="D873" s="678"/>
      <c r="E873" s="656"/>
      <c r="F873" s="657"/>
      <c r="G873" s="658"/>
      <c r="H873" s="658"/>
    </row>
    <row r="874" spans="1:8" ht="47.25">
      <c r="A874" s="653"/>
      <c r="B874" s="653"/>
      <c r="C874" s="242" t="s">
        <v>1322</v>
      </c>
      <c r="D874" s="678"/>
      <c r="E874" s="656"/>
      <c r="F874" s="657"/>
      <c r="G874" s="658"/>
      <c r="H874" s="658"/>
    </row>
    <row r="875" spans="1:8" ht="31.5">
      <c r="A875" s="653"/>
      <c r="B875" s="653" t="s">
        <v>22</v>
      </c>
      <c r="C875" s="242" t="s">
        <v>1323</v>
      </c>
      <c r="D875" s="470" t="s">
        <v>399</v>
      </c>
      <c r="E875" s="680">
        <f>C877</f>
        <v>1367.46</v>
      </c>
      <c r="F875" s="719">
        <v>2.7</v>
      </c>
      <c r="G875" s="658"/>
      <c r="H875" s="658"/>
    </row>
    <row r="876" spans="1:8" ht="16.5" thickBot="1">
      <c r="A876" s="653"/>
      <c r="B876" s="653"/>
      <c r="C876" s="670" t="s">
        <v>262</v>
      </c>
      <c r="D876" s="727"/>
      <c r="E876" s="728"/>
      <c r="F876" s="720"/>
      <c r="G876" s="688"/>
      <c r="H876" s="688"/>
    </row>
    <row r="877" spans="1:8" hidden="1">
      <c r="A877" s="653"/>
      <c r="B877" s="653"/>
      <c r="C877" s="666">
        <f>455.82+455.82+455.82</f>
        <v>1367.46</v>
      </c>
      <c r="D877" s="470"/>
      <c r="E877" s="680"/>
      <c r="F877" s="719"/>
      <c r="G877" s="658"/>
      <c r="H877" s="658"/>
    </row>
    <row r="878" spans="1:8">
      <c r="A878" s="677"/>
      <c r="B878" s="677"/>
      <c r="C878" s="1021" t="s">
        <v>1324</v>
      </c>
      <c r="D878" s="1021"/>
      <c r="E878" s="1021"/>
      <c r="F878" s="1021"/>
      <c r="G878" s="1021"/>
      <c r="H878" s="752"/>
    </row>
    <row r="879" spans="1:8">
      <c r="A879" s="645"/>
      <c r="B879" s="645"/>
      <c r="C879" s="242"/>
      <c r="D879" s="470"/>
      <c r="E879" s="680"/>
      <c r="F879" s="719"/>
      <c r="G879" s="658"/>
      <c r="H879" s="658"/>
    </row>
    <row r="880" spans="1:8">
      <c r="A880" s="645"/>
      <c r="B880" s="645"/>
      <c r="C880" s="729"/>
      <c r="D880" s="678"/>
      <c r="E880" s="730"/>
      <c r="F880" s="731"/>
      <c r="G880" s="732"/>
      <c r="H880" s="732"/>
    </row>
    <row r="881" spans="1:8">
      <c r="A881" s="1023" t="s">
        <v>501</v>
      </c>
      <c r="B881" s="1023"/>
      <c r="C881" s="1023"/>
      <c r="D881" s="1023"/>
      <c r="E881" s="1023"/>
      <c r="F881" s="1023"/>
      <c r="G881" s="1023"/>
      <c r="H881" s="1023"/>
    </row>
    <row r="882" spans="1:8">
      <c r="A882" s="645"/>
      <c r="B882" s="645"/>
      <c r="C882" s="729"/>
      <c r="D882" s="678"/>
      <c r="E882" s="730"/>
      <c r="F882" s="731"/>
      <c r="G882" s="732"/>
      <c r="H882" s="732"/>
    </row>
    <row r="883" spans="1:8">
      <c r="A883" s="645" t="s">
        <v>0</v>
      </c>
      <c r="B883" s="733" t="s">
        <v>1375</v>
      </c>
      <c r="C883" s="733" t="s">
        <v>1376</v>
      </c>
      <c r="D883" s="734"/>
      <c r="E883" s="734"/>
      <c r="F883" s="701"/>
      <c r="G883" s="702"/>
      <c r="H883" s="702"/>
    </row>
    <row r="884" spans="1:8">
      <c r="A884" s="645" t="s">
        <v>1</v>
      </c>
      <c r="B884" s="733"/>
      <c r="C884" s="714" t="s">
        <v>1386</v>
      </c>
      <c r="D884" s="735"/>
      <c r="E884" s="735"/>
      <c r="F884" s="736"/>
      <c r="G884" s="737"/>
      <c r="H884" s="737"/>
    </row>
    <row r="885" spans="1:8">
      <c r="A885" s="645" t="s">
        <v>2</v>
      </c>
      <c r="B885" s="733" t="s">
        <v>1036</v>
      </c>
      <c r="C885" s="733" t="s">
        <v>1036</v>
      </c>
      <c r="D885" s="735"/>
      <c r="E885" s="735"/>
      <c r="F885" s="736"/>
      <c r="G885" s="737"/>
      <c r="H885" s="737"/>
    </row>
    <row r="886" spans="1:8">
      <c r="A886" s="645" t="s">
        <v>3</v>
      </c>
      <c r="B886" s="733"/>
      <c r="C886" s="733" t="s">
        <v>502</v>
      </c>
      <c r="D886" s="735"/>
      <c r="E886" s="735"/>
      <c r="F886" s="736"/>
      <c r="G886" s="737"/>
      <c r="H886" s="737"/>
    </row>
    <row r="887" spans="1:8">
      <c r="A887" s="645" t="s">
        <v>4</v>
      </c>
      <c r="B887" s="733"/>
      <c r="C887" s="733" t="s">
        <v>1735</v>
      </c>
      <c r="D887" s="735"/>
      <c r="E887" s="735"/>
      <c r="F887" s="736"/>
      <c r="G887" s="737"/>
      <c r="H887" s="737"/>
    </row>
    <row r="888" spans="1:8">
      <c r="A888" s="645" t="s">
        <v>4</v>
      </c>
      <c r="B888" s="733"/>
      <c r="C888" s="733" t="s">
        <v>452</v>
      </c>
      <c r="D888" s="735"/>
      <c r="E888" s="735"/>
      <c r="F888" s="736"/>
      <c r="G888" s="737"/>
      <c r="H888" s="737"/>
    </row>
    <row r="889" spans="1:8">
      <c r="A889" s="645" t="s">
        <v>5</v>
      </c>
      <c r="B889" s="733"/>
      <c r="C889" s="733" t="s">
        <v>1107</v>
      </c>
      <c r="D889" s="735"/>
      <c r="E889" s="735"/>
      <c r="F889" s="736"/>
      <c r="G889" s="737"/>
      <c r="H889" s="737"/>
    </row>
    <row r="890" spans="1:8">
      <c r="A890" s="645" t="s">
        <v>6</v>
      </c>
      <c r="B890" s="733" t="s">
        <v>1325</v>
      </c>
      <c r="C890" s="733" t="s">
        <v>1325</v>
      </c>
      <c r="D890" s="735"/>
      <c r="E890" s="735"/>
      <c r="F890" s="736"/>
      <c r="G890" s="737"/>
      <c r="H890" s="737"/>
    </row>
    <row r="891" spans="1:8">
      <c r="A891" s="645" t="s">
        <v>7</v>
      </c>
      <c r="B891" s="733" t="s">
        <v>1326</v>
      </c>
      <c r="C891" s="733" t="s">
        <v>1326</v>
      </c>
      <c r="D891" s="735"/>
      <c r="E891" s="735"/>
      <c r="F891" s="736"/>
      <c r="G891" s="737"/>
      <c r="H891" s="737"/>
    </row>
    <row r="892" spans="1:8">
      <c r="A892" s="645" t="s">
        <v>9</v>
      </c>
      <c r="B892" s="733" t="s">
        <v>461</v>
      </c>
      <c r="C892" s="733" t="s">
        <v>461</v>
      </c>
      <c r="D892" s="735"/>
      <c r="E892" s="735"/>
      <c r="F892" s="736"/>
      <c r="G892" s="737"/>
      <c r="H892" s="737"/>
    </row>
    <row r="893" spans="1:8">
      <c r="A893" s="645" t="s">
        <v>10</v>
      </c>
      <c r="B893" s="733"/>
      <c r="C893" s="733" t="s">
        <v>1216</v>
      </c>
      <c r="D893" s="735"/>
      <c r="E893" s="735"/>
      <c r="F893" s="736"/>
      <c r="G893" s="737"/>
      <c r="H893" s="737"/>
    </row>
    <row r="894" spans="1:8">
      <c r="A894" s="645" t="s">
        <v>74</v>
      </c>
      <c r="B894" s="733" t="s">
        <v>1235</v>
      </c>
      <c r="C894" s="733" t="s">
        <v>1235</v>
      </c>
      <c r="D894" s="735"/>
      <c r="E894" s="735"/>
      <c r="F894" s="736"/>
      <c r="G894" s="737"/>
      <c r="H894" s="737"/>
    </row>
    <row r="895" spans="1:8">
      <c r="A895" s="645" t="s">
        <v>77</v>
      </c>
      <c r="B895" s="733" t="s">
        <v>1243</v>
      </c>
      <c r="C895" s="733" t="s">
        <v>1243</v>
      </c>
      <c r="D895" s="735"/>
      <c r="E895" s="735"/>
      <c r="F895" s="736"/>
      <c r="G895" s="737"/>
      <c r="H895" s="737"/>
    </row>
    <row r="896" spans="1:8">
      <c r="A896" s="645" t="s">
        <v>78</v>
      </c>
      <c r="B896" s="733" t="s">
        <v>1267</v>
      </c>
      <c r="C896" s="733" t="s">
        <v>1267</v>
      </c>
      <c r="D896" s="735"/>
      <c r="E896" s="735"/>
      <c r="F896" s="736"/>
      <c r="G896" s="737"/>
      <c r="H896" s="737"/>
    </row>
    <row r="897" spans="1:8">
      <c r="A897" s="645" t="s">
        <v>79</v>
      </c>
      <c r="B897" s="733" t="s">
        <v>470</v>
      </c>
      <c r="C897" s="733" t="s">
        <v>470</v>
      </c>
      <c r="D897" s="735"/>
      <c r="E897" s="735"/>
      <c r="F897" s="736"/>
      <c r="G897" s="737"/>
      <c r="H897" s="737"/>
    </row>
    <row r="898" spans="1:8" ht="16.5" thickBot="1">
      <c r="A898" s="645" t="s">
        <v>80</v>
      </c>
      <c r="B898" s="738" t="s">
        <v>1318</v>
      </c>
      <c r="C898" s="733" t="s">
        <v>1306</v>
      </c>
      <c r="D898" s="735"/>
      <c r="E898" s="735"/>
      <c r="F898" s="736"/>
      <c r="G898" s="737"/>
      <c r="H898" s="737"/>
    </row>
    <row r="899" spans="1:8" ht="17.25" thickTop="1" thickBot="1">
      <c r="A899" s="645" t="s">
        <v>95</v>
      </c>
      <c r="B899" s="645"/>
      <c r="C899" s="733" t="s">
        <v>1318</v>
      </c>
      <c r="D899" s="739"/>
      <c r="E899" s="740"/>
      <c r="F899" s="741"/>
      <c r="G899" s="742"/>
      <c r="H899" s="742"/>
    </row>
    <row r="900" spans="1:8" ht="16.5" thickTop="1">
      <c r="A900" s="645"/>
      <c r="B900" s="645"/>
      <c r="C900" s="743"/>
      <c r="D900" s="678"/>
      <c r="E900" s="730"/>
      <c r="F900" s="731"/>
      <c r="G900" s="744" t="s">
        <v>503</v>
      </c>
      <c r="H900" s="744"/>
    </row>
    <row r="905" spans="1:8">
      <c r="A905" s="745"/>
      <c r="H905" s="751"/>
    </row>
    <row r="906" spans="1:8">
      <c r="A906" s="745"/>
      <c r="H906" s="751"/>
    </row>
    <row r="907" spans="1:8">
      <c r="A907" s="745"/>
      <c r="H907" s="751"/>
    </row>
    <row r="908" spans="1:8">
      <c r="A908" s="745"/>
      <c r="H908" s="751"/>
    </row>
    <row r="909" spans="1:8">
      <c r="A909" s="745"/>
      <c r="H909" s="751"/>
    </row>
    <row r="910" spans="1:8">
      <c r="A910" s="745"/>
      <c r="H910" s="751"/>
    </row>
    <row r="911" spans="1:8">
      <c r="A911" s="745"/>
      <c r="H911" s="745"/>
    </row>
  </sheetData>
  <mergeCells count="22">
    <mergeCell ref="C341:G341"/>
    <mergeCell ref="A881:H881"/>
    <mergeCell ref="C571:G571"/>
    <mergeCell ref="C597:G597"/>
    <mergeCell ref="C375:G375"/>
    <mergeCell ref="C826:G826"/>
    <mergeCell ref="C878:G878"/>
    <mergeCell ref="C868:G868"/>
    <mergeCell ref="C408:G408"/>
    <mergeCell ref="C434:G434"/>
    <mergeCell ref="C533:G533"/>
    <mergeCell ref="C681:G681"/>
    <mergeCell ref="C742:G742"/>
    <mergeCell ref="C250:G250"/>
    <mergeCell ref="C33:G33"/>
    <mergeCell ref="A2:H2"/>
    <mergeCell ref="A3:H3"/>
    <mergeCell ref="A1:H1"/>
    <mergeCell ref="A4:H4"/>
    <mergeCell ref="C63:G63"/>
    <mergeCell ref="C136:G136"/>
    <mergeCell ref="C242:G242"/>
  </mergeCells>
  <printOptions horizontalCentered="1"/>
  <pageMargins left="0.70866141732283472" right="0.39370078740157483" top="0.59055118110236227" bottom="0.59055118110236227" header="0.31496062992125984" footer="0.31496062992125984"/>
  <pageSetup paperSize="9" scale="93" orientation="portrait" horizontalDpi="4294967293" verticalDpi="4294967293" r:id="rId1"/>
  <headerFooter>
    <oddHeader>&amp;R&amp;"Arial,Regular"&amp;9E-2015/262</oddHeader>
    <oddFooter>&amp;R&amp;"Arial,Regular"&amp;9&amp;P</oddFooter>
  </headerFooter>
  <rowBreaks count="1" manualBreakCount="1">
    <brk id="88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I406"/>
  <sheetViews>
    <sheetView topLeftCell="A55" workbookViewId="0">
      <selection activeCell="D72" sqref="D72"/>
    </sheetView>
  </sheetViews>
  <sheetFormatPr defaultRowHeight="15.75"/>
  <cols>
    <col min="1" max="1" width="7.375" style="8" customWidth="1"/>
    <col min="2" max="2" width="9.75" bestFit="1" customWidth="1"/>
    <col min="9" max="9" width="9" style="9"/>
  </cols>
  <sheetData>
    <row r="1" spans="1:9">
      <c r="A1" s="1026" t="s">
        <v>49</v>
      </c>
      <c r="B1" s="1026"/>
      <c r="C1" s="1026"/>
      <c r="D1" s="1026"/>
      <c r="E1" s="4"/>
      <c r="F1" s="4"/>
      <c r="G1" s="4"/>
      <c r="H1" s="4"/>
      <c r="I1" s="10"/>
    </row>
    <row r="3" spans="1:9">
      <c r="A3" s="8" t="s">
        <v>28</v>
      </c>
      <c r="B3">
        <v>23</v>
      </c>
      <c r="C3">
        <v>2.5</v>
      </c>
      <c r="I3" s="9">
        <f>B3*C3</f>
        <v>57.5</v>
      </c>
    </row>
    <row r="5" spans="1:9">
      <c r="A5" s="8" t="s">
        <v>29</v>
      </c>
      <c r="B5" s="5">
        <f>(21.3*13.45) +(7.5*8.5) +(21.3*13.45) +(21.4*13.45) +(3*8.5)</f>
        <v>950.05</v>
      </c>
      <c r="I5" s="9">
        <f>B5</f>
        <v>950.05</v>
      </c>
    </row>
    <row r="9" spans="1:9">
      <c r="A9" s="1025" t="s">
        <v>52</v>
      </c>
      <c r="B9" s="1025"/>
      <c r="C9" s="1025"/>
      <c r="D9" s="1025"/>
      <c r="E9" s="4"/>
      <c r="F9" s="4"/>
      <c r="G9" s="4"/>
      <c r="H9" s="4"/>
      <c r="I9" s="10"/>
    </row>
    <row r="11" spans="1:9">
      <c r="A11" s="8" t="s">
        <v>30</v>
      </c>
      <c r="B11">
        <v>21.3</v>
      </c>
      <c r="C11">
        <v>21.2</v>
      </c>
      <c r="F11">
        <f>B11*C11</f>
        <v>451.56</v>
      </c>
    </row>
    <row r="12" spans="1:9">
      <c r="B12">
        <v>0.5</v>
      </c>
      <c r="C12">
        <v>4.0999999999999996</v>
      </c>
      <c r="F12">
        <f t="shared" ref="F12:F14" si="0">B12*C12</f>
        <v>2.0499999999999998</v>
      </c>
    </row>
    <row r="13" spans="1:9">
      <c r="B13">
        <v>0.6</v>
      </c>
      <c r="C13">
        <v>1</v>
      </c>
      <c r="F13">
        <f t="shared" si="0"/>
        <v>0.6</v>
      </c>
    </row>
    <row r="14" spans="1:9">
      <c r="B14">
        <v>0.5</v>
      </c>
      <c r="C14">
        <v>2</v>
      </c>
      <c r="F14">
        <f t="shared" si="0"/>
        <v>1</v>
      </c>
    </row>
    <row r="15" spans="1:9">
      <c r="A15" s="11"/>
      <c r="B15" s="4"/>
      <c r="C15" s="4"/>
      <c r="D15" s="4"/>
      <c r="E15" s="4"/>
      <c r="F15" s="4">
        <f>SUM(F11:F14)</f>
        <v>455.21000000000004</v>
      </c>
      <c r="G15" s="4">
        <v>1.6</v>
      </c>
      <c r="H15" s="4"/>
      <c r="I15" s="10">
        <f>F15*G15</f>
        <v>728.33600000000013</v>
      </c>
    </row>
    <row r="17" spans="1:9">
      <c r="A17" s="8" t="s">
        <v>31</v>
      </c>
      <c r="B17">
        <v>21.3</v>
      </c>
      <c r="C17">
        <v>21.2</v>
      </c>
      <c r="F17">
        <f t="shared" ref="F17:F20" si="1">B17*C17</f>
        <v>451.56</v>
      </c>
    </row>
    <row r="18" spans="1:9">
      <c r="B18">
        <v>0.5</v>
      </c>
      <c r="C18">
        <v>4.0999999999999996</v>
      </c>
      <c r="F18">
        <f t="shared" si="1"/>
        <v>2.0499999999999998</v>
      </c>
    </row>
    <row r="19" spans="1:9">
      <c r="B19">
        <v>0.6</v>
      </c>
      <c r="C19">
        <v>1</v>
      </c>
      <c r="F19">
        <f t="shared" si="1"/>
        <v>0.6</v>
      </c>
    </row>
    <row r="20" spans="1:9">
      <c r="B20">
        <v>0.5</v>
      </c>
      <c r="C20">
        <v>2</v>
      </c>
      <c r="F20">
        <f t="shared" si="1"/>
        <v>1</v>
      </c>
    </row>
    <row r="21" spans="1:9">
      <c r="A21" s="11"/>
      <c r="B21" s="4"/>
      <c r="C21" s="4"/>
      <c r="D21" s="4"/>
      <c r="E21" s="4"/>
      <c r="F21" s="4">
        <f>SUM(F17:F20)</f>
        <v>455.21000000000004</v>
      </c>
      <c r="G21" s="4">
        <v>0.6</v>
      </c>
      <c r="H21" s="4"/>
      <c r="I21" s="10">
        <f>F21*G21</f>
        <v>273.12600000000003</v>
      </c>
    </row>
    <row r="23" spans="1:9">
      <c r="A23" s="8" t="s">
        <v>53</v>
      </c>
      <c r="B23">
        <v>7</v>
      </c>
      <c r="C23">
        <v>5.6</v>
      </c>
      <c r="D23">
        <v>7</v>
      </c>
      <c r="F23">
        <f>B23*C23*D23</f>
        <v>274.39999999999998</v>
      </c>
    </row>
    <row r="24" spans="1:9">
      <c r="B24">
        <v>7.45</v>
      </c>
      <c r="C24">
        <v>7</v>
      </c>
      <c r="D24">
        <v>2</v>
      </c>
      <c r="F24">
        <f>B24*C24*D24</f>
        <v>104.3</v>
      </c>
    </row>
    <row r="25" spans="1:9">
      <c r="F25">
        <f>SUM(F23:F24)</f>
        <v>378.7</v>
      </c>
      <c r="G25">
        <v>0.7</v>
      </c>
      <c r="I25" s="9">
        <f>F25*G25</f>
        <v>265.08999999999997</v>
      </c>
    </row>
    <row r="27" spans="1:9">
      <c r="B27">
        <v>7</v>
      </c>
    </row>
    <row r="28" spans="1:9">
      <c r="B28">
        <v>20.3</v>
      </c>
    </row>
    <row r="29" spans="1:9">
      <c r="B29">
        <v>7</v>
      </c>
    </row>
    <row r="30" spans="1:9">
      <c r="B30">
        <f>SUM(B27:B29)</f>
        <v>34.299999999999997</v>
      </c>
      <c r="C30">
        <v>2</v>
      </c>
      <c r="F30">
        <f>B30*C30</f>
        <v>68.599999999999994</v>
      </c>
      <c r="G30">
        <v>0.55000000000000004</v>
      </c>
      <c r="H30">
        <v>0.15</v>
      </c>
      <c r="I30" s="9">
        <f>F30*G30*H30</f>
        <v>5.6594999999999995</v>
      </c>
    </row>
    <row r="32" spans="1:9">
      <c r="B32">
        <v>20.3</v>
      </c>
      <c r="C32">
        <v>5.35</v>
      </c>
      <c r="F32">
        <f>B32*C32</f>
        <v>108.60499999999999</v>
      </c>
      <c r="G32">
        <v>0.15</v>
      </c>
      <c r="I32" s="9">
        <f>F32*G32</f>
        <v>16.290749999999999</v>
      </c>
    </row>
    <row r="33" spans="1:9">
      <c r="A33" s="11"/>
      <c r="B33" s="4"/>
      <c r="C33" s="4"/>
      <c r="D33" s="4"/>
      <c r="E33" s="4"/>
      <c r="F33" s="4"/>
      <c r="G33" s="4"/>
      <c r="H33" s="4"/>
      <c r="I33" s="10">
        <f>SUM(I25:I32)</f>
        <v>287.04024999999996</v>
      </c>
    </row>
    <row r="35" spans="1:9">
      <c r="A35" s="8" t="s">
        <v>32</v>
      </c>
      <c r="B35">
        <v>21.3</v>
      </c>
      <c r="C35">
        <v>1</v>
      </c>
      <c r="D35">
        <v>2</v>
      </c>
      <c r="F35">
        <f>B35*C35*D35</f>
        <v>42.6</v>
      </c>
      <c r="G35">
        <v>0.15</v>
      </c>
      <c r="H35">
        <f>F35*G35</f>
        <v>6.39</v>
      </c>
    </row>
    <row r="36" spans="1:9">
      <c r="B36">
        <v>20.3</v>
      </c>
      <c r="C36">
        <v>5.35</v>
      </c>
      <c r="D36">
        <v>1</v>
      </c>
      <c r="F36">
        <f t="shared" ref="F36:F41" si="2">B36*C36*D36</f>
        <v>108.60499999999999</v>
      </c>
      <c r="G36">
        <v>0.15</v>
      </c>
      <c r="H36">
        <f t="shared" ref="H36:H41" si="3">F36*G36</f>
        <v>16.290749999999999</v>
      </c>
    </row>
    <row r="37" spans="1:9">
      <c r="B37">
        <v>20.3</v>
      </c>
      <c r="C37">
        <v>20.399999999999999</v>
      </c>
      <c r="D37">
        <v>1</v>
      </c>
      <c r="F37">
        <f t="shared" si="2"/>
        <v>414.12</v>
      </c>
      <c r="G37">
        <v>0.15</v>
      </c>
      <c r="H37">
        <f t="shared" si="3"/>
        <v>62.117999999999995</v>
      </c>
    </row>
    <row r="38" spans="1:9">
      <c r="B38">
        <v>0.5</v>
      </c>
      <c r="C38">
        <v>4.0999999999999996</v>
      </c>
      <c r="D38">
        <v>1</v>
      </c>
      <c r="F38">
        <f t="shared" si="2"/>
        <v>2.0499999999999998</v>
      </c>
      <c r="G38">
        <v>0.15</v>
      </c>
      <c r="H38">
        <f t="shared" si="3"/>
        <v>0.30749999999999994</v>
      </c>
    </row>
    <row r="39" spans="1:9">
      <c r="B39">
        <v>0.6</v>
      </c>
      <c r="C39">
        <v>1</v>
      </c>
      <c r="D39">
        <v>1</v>
      </c>
      <c r="F39">
        <f t="shared" si="2"/>
        <v>0.6</v>
      </c>
      <c r="G39">
        <v>0.15</v>
      </c>
      <c r="H39">
        <f t="shared" si="3"/>
        <v>0.09</v>
      </c>
    </row>
    <row r="40" spans="1:9">
      <c r="B40">
        <v>0.5</v>
      </c>
      <c r="C40">
        <v>1.5</v>
      </c>
      <c r="D40">
        <v>1</v>
      </c>
      <c r="F40">
        <f t="shared" si="2"/>
        <v>0.75</v>
      </c>
      <c r="G40">
        <v>0.15</v>
      </c>
      <c r="H40">
        <f t="shared" si="3"/>
        <v>0.11249999999999999</v>
      </c>
    </row>
    <row r="41" spans="1:9">
      <c r="B41">
        <v>7</v>
      </c>
      <c r="C41">
        <v>4</v>
      </c>
      <c r="D41">
        <v>0.25</v>
      </c>
      <c r="F41">
        <f t="shared" si="2"/>
        <v>7</v>
      </c>
      <c r="G41">
        <v>0.15</v>
      </c>
      <c r="H41">
        <f t="shared" si="3"/>
        <v>1.05</v>
      </c>
    </row>
    <row r="42" spans="1:9">
      <c r="A42" s="11"/>
      <c r="B42" s="4"/>
      <c r="C42" s="4"/>
      <c r="D42" s="4"/>
      <c r="E42" s="4"/>
      <c r="F42" s="4"/>
      <c r="G42" s="4"/>
      <c r="H42" s="4">
        <f>SUM(H35:H41)</f>
        <v>86.358750000000001</v>
      </c>
      <c r="I42" s="10">
        <f>H42</f>
        <v>86.358750000000001</v>
      </c>
    </row>
    <row r="44" spans="1:9">
      <c r="A44" s="1025" t="s">
        <v>116</v>
      </c>
      <c r="B44" s="1025"/>
      <c r="C44" s="1025"/>
      <c r="D44" s="1025"/>
    </row>
    <row r="47" spans="1:9">
      <c r="A47" s="8" t="s">
        <v>33</v>
      </c>
    </row>
    <row r="48" spans="1:9">
      <c r="B48" s="12">
        <f>((20.66 +10 +6.9 +5.85 +5.85+4.85+1.65+1.65)*4.3)*0.25</f>
        <v>61.71575</v>
      </c>
    </row>
    <row r="49" spans="1:9">
      <c r="B49" s="12">
        <f>(((4.85+5.15+5.15+1.65+1.65)*3.4)*0.25) +(((0.6*1.54)*0.25)*10)</f>
        <v>17.9925</v>
      </c>
    </row>
    <row r="50" spans="1:9">
      <c r="B50" s="12">
        <f>(((4.85+1.65+1.65)*3.4)*0.25) +(((1.54*0.6)*0.25)*10)</f>
        <v>9.2375000000000007</v>
      </c>
    </row>
    <row r="51" spans="1:9">
      <c r="B51" s="12">
        <f>(((4.85+4.85+1.65+1.65)*0.25)*1.9)</f>
        <v>6.1749999999999998</v>
      </c>
      <c r="D51">
        <f>SUM(B48:B51)</f>
        <v>95.120749999999987</v>
      </c>
      <c r="I51" s="9">
        <f>D51-B53</f>
        <v>84.186749999999989</v>
      </c>
    </row>
    <row r="52" spans="1:9">
      <c r="B52" t="s">
        <v>17</v>
      </c>
    </row>
    <row r="53" spans="1:9">
      <c r="A53" s="11"/>
      <c r="B53" s="14">
        <f>((1.54*3.55)*0.25)*8</f>
        <v>10.933999999999999</v>
      </c>
      <c r="C53" s="4"/>
      <c r="D53" s="4"/>
      <c r="E53" s="4"/>
      <c r="F53" s="4"/>
      <c r="G53" s="4"/>
      <c r="H53" s="4"/>
      <c r="I53" s="10"/>
    </row>
    <row r="55" spans="1:9">
      <c r="A55" s="8" t="s">
        <v>34</v>
      </c>
      <c r="B55" s="13">
        <f>((2.65*6) +(20.7*2) +(2+1.65+1.65) +(0.25*4))*4.3</f>
        <v>273.47999999999996</v>
      </c>
    </row>
    <row r="56" spans="1:9">
      <c r="B56" s="13">
        <f>((2.65*6) +(20.7*2) +(2+1.65+1.65) +(0.25*4))*3.4</f>
        <v>216.23999999999998</v>
      </c>
    </row>
    <row r="57" spans="1:9">
      <c r="B57" s="13">
        <f>((2.65*6) +(20.7*2) +(2+1.65+1.65) +(0.25*4))*3.4</f>
        <v>216.23999999999998</v>
      </c>
    </row>
    <row r="58" spans="1:9">
      <c r="B58" s="13">
        <f>(4.95 +6.4 +2 +6.4 +1.65 +1.65 +4 +6.4)*1.9</f>
        <v>63.554999999999986</v>
      </c>
      <c r="D58">
        <f>SUM(B55:B58)</f>
        <v>769.51499999999987</v>
      </c>
    </row>
    <row r="59" spans="1:9">
      <c r="B59" t="s">
        <v>17</v>
      </c>
    </row>
    <row r="60" spans="1:9">
      <c r="B60" s="13">
        <f>((1.54*3.55)*8) +((0.9*2.2)*18) +((4*4.3)*4) +((1.5*2.2)*4) +(0.5*3.55) +(2.7*4.3) +(1.8*2.2)</f>
        <v>178.72099999999998</v>
      </c>
    </row>
    <row r="61" spans="1:9">
      <c r="B61" s="13">
        <f>((1.54*2.8)*11) +((0.9*2.2)*18) +((4*3.4)*4) +((1.5*2.2)*4) +(1.1*2.8) +(2.7*3.4) +(1.8*2.2)</f>
        <v>166.89200000000002</v>
      </c>
    </row>
    <row r="62" spans="1:9">
      <c r="A62" s="11"/>
      <c r="B62" s="15">
        <f>((1.54*2.8)*11) +((0.9*2.2)*18) +((4*3.4)*4) +((1.5*2.2)*4) +(1.1*2.8) +(2.7*3.4) +(1.8*2.2)</f>
        <v>166.89200000000002</v>
      </c>
      <c r="C62" s="4"/>
      <c r="D62" s="4">
        <f>SUM(B60:B62)</f>
        <v>512.505</v>
      </c>
      <c r="E62" s="4"/>
      <c r="F62" s="4"/>
      <c r="G62" s="4"/>
      <c r="H62" s="4"/>
      <c r="I62" s="10">
        <f>D58-D62</f>
        <v>257.00999999999988</v>
      </c>
    </row>
    <row r="64" spans="1:9">
      <c r="A64" s="8" t="s">
        <v>48</v>
      </c>
      <c r="B64" s="12">
        <f>(20.7*7.75) +(20.7*4.85)+(20.7*7.75)</f>
        <v>421.245</v>
      </c>
    </row>
    <row r="65" spans="1:9">
      <c r="B65" s="12">
        <f>(20.7*7.75) +(20.7*4.85)+(20.7*7.75)</f>
        <v>421.245</v>
      </c>
    </row>
    <row r="66" spans="1:9">
      <c r="B66" s="12">
        <f>(20.7*7.75) +(20.7*4.85)+(20.7*7.75)</f>
        <v>421.245</v>
      </c>
    </row>
    <row r="67" spans="1:9">
      <c r="B67" s="12">
        <f>(6.4*4.85)</f>
        <v>31.04</v>
      </c>
      <c r="D67">
        <f>SUM(B64:B67)</f>
        <v>1294.7750000000001</v>
      </c>
    </row>
    <row r="69" spans="1:9">
      <c r="B69" t="s">
        <v>17</v>
      </c>
    </row>
    <row r="70" spans="1:9">
      <c r="B70" s="12">
        <f>(2.5*1.65) +(5*3.05)</f>
        <v>19.375</v>
      </c>
    </row>
    <row r="71" spans="1:9">
      <c r="B71" s="12">
        <f>(2.5*1.65) +(5*3.05)</f>
        <v>19.375</v>
      </c>
    </row>
    <row r="72" spans="1:9">
      <c r="A72" s="11"/>
      <c r="B72" s="14">
        <f>(2.5*1.65) +(5*3.05)</f>
        <v>19.375</v>
      </c>
      <c r="C72" s="4"/>
      <c r="D72" s="4">
        <f>SUM(B70:B72)</f>
        <v>58.125</v>
      </c>
      <c r="E72" s="4"/>
      <c r="F72" s="4"/>
      <c r="G72" s="4"/>
      <c r="H72" s="4"/>
      <c r="I72" s="10">
        <f>D67-D72</f>
        <v>1236.6500000000001</v>
      </c>
    </row>
    <row r="74" spans="1:9">
      <c r="A74" s="8" t="s">
        <v>132</v>
      </c>
      <c r="B74" s="12">
        <f>((6*6)*1.45) +((6*0.25)*6)</f>
        <v>61.199999999999996</v>
      </c>
      <c r="I74" s="9">
        <f>B74</f>
        <v>61.199999999999996</v>
      </c>
    </row>
    <row r="76" spans="1:9">
      <c r="A76" s="11"/>
      <c r="B76" s="4"/>
      <c r="C76" s="4"/>
      <c r="D76" s="4"/>
      <c r="E76" s="4"/>
      <c r="F76" s="4"/>
      <c r="G76" s="4"/>
      <c r="H76" s="4"/>
      <c r="I76" s="10"/>
    </row>
    <row r="77" spans="1:9">
      <c r="A77" s="1025" t="s">
        <v>135</v>
      </c>
      <c r="B77" s="1025"/>
      <c r="C77" s="1025"/>
      <c r="D77" s="1025"/>
    </row>
    <row r="79" spans="1:9">
      <c r="A79" s="8" t="s">
        <v>35</v>
      </c>
      <c r="B79" s="18">
        <f>((21.3*1)*2) +(20.3*5.35) +(20.3*20.4) +(0.5*4.1) +(0.6*1) +(0.5*1.95) +((7*4)*0.25)</f>
        <v>575.95000000000005</v>
      </c>
      <c r="C79" s="19"/>
      <c r="D79" s="19"/>
      <c r="E79" s="19"/>
      <c r="F79" s="19"/>
      <c r="G79" s="19"/>
      <c r="H79" s="19"/>
      <c r="I79" s="20">
        <f>B79</f>
        <v>575.95000000000005</v>
      </c>
    </row>
    <row r="80" spans="1:9">
      <c r="A80" s="11"/>
      <c r="B80" s="21"/>
      <c r="C80" s="21"/>
      <c r="D80" s="21"/>
      <c r="E80" s="21"/>
      <c r="F80" s="21"/>
      <c r="G80" s="21"/>
      <c r="H80" s="21"/>
      <c r="I80" s="22"/>
    </row>
    <row r="81" spans="1:9">
      <c r="B81" s="19"/>
      <c r="C81" s="19"/>
      <c r="D81" s="19"/>
      <c r="E81" s="19"/>
      <c r="F81" s="19"/>
      <c r="G81" s="19"/>
      <c r="H81" s="19"/>
      <c r="I81" s="20"/>
    </row>
    <row r="82" spans="1:9">
      <c r="A82" s="8" t="s">
        <v>36</v>
      </c>
      <c r="B82" s="23">
        <f>(((1*0.5)+(0.45*0.5)) *(21.18+21.18+21.3+21.3)) +((5.35*19.2)*0.5) +((0.5*4.1)*0.5) +((0.6*1)*0.5) +((0.5*1.95)*0.5) +(((0.25*0.7)*20.4)*2) +((2.9*2.1)*0.5)</f>
        <v>124.95349999999999</v>
      </c>
      <c r="C82" s="19"/>
      <c r="D82" s="19"/>
      <c r="E82" s="19"/>
      <c r="F82" s="19"/>
      <c r="G82" s="19"/>
      <c r="H82" s="19"/>
      <c r="I82" s="20">
        <f>B82</f>
        <v>124.95349999999999</v>
      </c>
    </row>
    <row r="83" spans="1:9">
      <c r="A83" s="11"/>
      <c r="B83" s="21"/>
      <c r="C83" s="21"/>
      <c r="D83" s="21"/>
      <c r="E83" s="21"/>
      <c r="F83" s="21"/>
      <c r="G83" s="21"/>
      <c r="H83" s="21"/>
      <c r="I83" s="22"/>
    </row>
    <row r="84" spans="1:9">
      <c r="B84" s="19"/>
      <c r="C84" s="19"/>
      <c r="D84" s="19"/>
      <c r="E84" s="19"/>
      <c r="F84" s="19"/>
      <c r="G84" s="19"/>
      <c r="H84" s="19"/>
      <c r="I84" s="20"/>
    </row>
    <row r="85" spans="1:9">
      <c r="A85" s="8" t="s">
        <v>37</v>
      </c>
      <c r="B85" s="23">
        <f>20.4*20.3</f>
        <v>414.12</v>
      </c>
      <c r="C85" s="19"/>
      <c r="D85" s="19"/>
      <c r="E85" s="19"/>
      <c r="F85" s="19"/>
      <c r="G85" s="19"/>
      <c r="H85" s="19"/>
      <c r="I85" s="20">
        <f>B85</f>
        <v>414.12</v>
      </c>
    </row>
    <row r="86" spans="1:9">
      <c r="A86" s="11"/>
      <c r="B86" s="21"/>
      <c r="C86" s="21"/>
      <c r="D86" s="21"/>
      <c r="E86" s="21"/>
      <c r="F86" s="21"/>
      <c r="G86" s="21"/>
      <c r="H86" s="21"/>
      <c r="I86" s="22"/>
    </row>
    <row r="87" spans="1:9">
      <c r="B87" s="19"/>
      <c r="C87" s="19"/>
      <c r="D87" s="19"/>
      <c r="E87" s="19"/>
      <c r="F87" s="19"/>
      <c r="G87" s="19"/>
      <c r="H87" s="19"/>
      <c r="I87" s="20"/>
    </row>
    <row r="88" spans="1:9">
      <c r="B88" s="24">
        <f>(((2.5+1.65)*2)*1.7)*0.15</f>
        <v>2.1165000000000003</v>
      </c>
      <c r="C88" s="19"/>
      <c r="D88" s="19"/>
      <c r="E88" s="19"/>
      <c r="F88" s="19"/>
      <c r="G88" s="19"/>
      <c r="H88" s="19"/>
      <c r="I88" s="20"/>
    </row>
    <row r="89" spans="1:9">
      <c r="A89" s="8" t="s">
        <v>38</v>
      </c>
      <c r="B89" s="23">
        <f>(((8.18*3)*0.2)*4.3) +((6.05*0.2)*4.3) +(((7.3*0.2)*2)*4.3) +(((8.25*0.2)*2)*4.3) +(((4.9+2)*0.2)*4.3)</f>
        <v>58.987399999999994</v>
      </c>
      <c r="C89" s="19"/>
      <c r="D89" s="19"/>
      <c r="E89" s="19"/>
      <c r="F89" s="19"/>
      <c r="G89" s="19"/>
      <c r="H89" s="19"/>
      <c r="I89" s="20"/>
    </row>
    <row r="90" spans="1:9">
      <c r="B90" s="23">
        <f>(((8.18*3)*0.2)*3.4) +((6.05*0.2)*3.4) +(((7.3*0.2)*2)*3.4) +(((8.25*0.2)*2)*3.4) +(((4.9+2)*0.2)*3.4)</f>
        <v>46.641199999999998</v>
      </c>
      <c r="C90" s="19"/>
      <c r="D90" s="19"/>
      <c r="E90" s="19"/>
      <c r="F90" s="19"/>
      <c r="G90" s="19"/>
      <c r="H90" s="19"/>
      <c r="I90" s="20"/>
    </row>
    <row r="91" spans="1:9">
      <c r="B91" s="23">
        <f>(((8.18*3)*0.2)*3.4) +((6.05*0.2)*3.4) +(((7.3*0.2)*2)*3.4) +(((8.25*0.2)*2)*3.4) +(((4.9+2)*0.2)*3.4)</f>
        <v>46.641199999999998</v>
      </c>
      <c r="C91" s="19"/>
      <c r="D91" s="19"/>
      <c r="E91" s="19"/>
      <c r="F91" s="19"/>
      <c r="G91" s="19"/>
      <c r="H91" s="19"/>
      <c r="I91" s="20"/>
    </row>
    <row r="92" spans="1:9">
      <c r="B92" s="23">
        <f>(((6.75*2)*0.2)*1.9) +(((4.9+2)*0.2)*1.9)</f>
        <v>7.7519999999999998</v>
      </c>
      <c r="C92" s="19"/>
      <c r="D92" s="19">
        <f>SUM(B88:B92)</f>
        <v>162.13830000000002</v>
      </c>
      <c r="E92" s="19"/>
      <c r="F92" s="19"/>
      <c r="G92" s="19"/>
      <c r="H92" s="19"/>
      <c r="I92" s="20"/>
    </row>
    <row r="93" spans="1:9">
      <c r="B93" s="19" t="s">
        <v>17</v>
      </c>
      <c r="C93" s="19"/>
      <c r="D93" s="19"/>
      <c r="E93" s="19"/>
      <c r="F93" s="19"/>
      <c r="G93" s="19"/>
      <c r="H93" s="19"/>
      <c r="I93" s="20"/>
    </row>
    <row r="94" spans="1:9">
      <c r="B94" s="23">
        <f>(((0.8*2.3)*0.2)*4) +(((0.9*2.3)*0.2)*3) +(((1.5*2.3)*0.2)*2) +((1.45*2.3)*0.2)</f>
        <v>4.7609999999999992</v>
      </c>
      <c r="C94" s="19"/>
      <c r="D94" s="19"/>
      <c r="E94" s="19"/>
      <c r="F94" s="19"/>
      <c r="G94" s="19"/>
      <c r="H94" s="19"/>
      <c r="I94" s="20"/>
    </row>
    <row r="95" spans="1:9">
      <c r="B95" s="23">
        <f>(((0.8*2.3)*0.2)*4) +(((0.9*2.3)*0.2)*3) +(((1.5*2.3)*0.2)*2) +((1.45*2.3)*0.2)</f>
        <v>4.7609999999999992</v>
      </c>
      <c r="C95" s="19"/>
      <c r="D95" s="19"/>
      <c r="E95" s="19"/>
      <c r="F95" s="19"/>
      <c r="G95" s="19"/>
      <c r="H95" s="19"/>
      <c r="I95" s="20"/>
    </row>
    <row r="96" spans="1:9">
      <c r="A96" s="11"/>
      <c r="B96" s="27">
        <f>(((0.8*2.3)*0.2)*4) +(((0.9*2.3)*0.2)*3) +(((1.5*2.3)*0.2)*2) +((1.45*2.3)*0.2)</f>
        <v>4.7609999999999992</v>
      </c>
      <c r="C96" s="21"/>
      <c r="D96" s="21">
        <f>SUM(B94:B96)</f>
        <v>14.282999999999998</v>
      </c>
      <c r="E96" s="21"/>
      <c r="F96" s="21"/>
      <c r="G96" s="21"/>
      <c r="H96" s="21"/>
      <c r="I96" s="22">
        <f>D92-D96</f>
        <v>147.85530000000003</v>
      </c>
    </row>
    <row r="97" spans="1:9">
      <c r="B97" s="19"/>
      <c r="C97" s="19"/>
      <c r="D97" s="19"/>
      <c r="E97" s="19"/>
      <c r="F97" s="19"/>
      <c r="G97" s="19"/>
      <c r="H97" s="19"/>
      <c r="I97" s="20"/>
    </row>
    <row r="98" spans="1:9">
      <c r="A98" s="8" t="s">
        <v>39</v>
      </c>
      <c r="B98" s="23">
        <f>((0.4*0.2)*4.3)*10</f>
        <v>3.4400000000000004</v>
      </c>
      <c r="C98" s="19"/>
      <c r="D98" s="19"/>
      <c r="E98" s="19"/>
      <c r="F98" s="19"/>
      <c r="G98" s="19"/>
      <c r="H98" s="19"/>
      <c r="I98" s="20"/>
    </row>
    <row r="99" spans="1:9">
      <c r="B99" s="23">
        <f>((0.4*0.2)*3.4)*10</f>
        <v>2.72</v>
      </c>
      <c r="C99" s="19"/>
      <c r="D99" s="19"/>
      <c r="E99" s="19"/>
      <c r="F99" s="19"/>
      <c r="G99" s="19"/>
      <c r="H99" s="19"/>
      <c r="I99" s="20"/>
    </row>
    <row r="100" spans="1:9">
      <c r="B100" s="23">
        <f>((0.4*0.2)*3.4)*10</f>
        <v>2.72</v>
      </c>
      <c r="C100" s="19"/>
      <c r="D100" s="19"/>
      <c r="E100" s="19"/>
      <c r="F100" s="19"/>
      <c r="G100" s="19"/>
      <c r="H100" s="19"/>
      <c r="I100" s="20"/>
    </row>
    <row r="101" spans="1:9">
      <c r="B101" s="16">
        <f>(((0.3*0.3)*4)*4.8) +((0.25*0.9)*4.8)</f>
        <v>2.8079999999999998</v>
      </c>
      <c r="C101" s="19"/>
      <c r="D101" s="19"/>
      <c r="E101" s="19"/>
      <c r="F101" s="19"/>
      <c r="G101" s="19"/>
      <c r="H101" s="19"/>
      <c r="I101" s="20"/>
    </row>
    <row r="102" spans="1:9">
      <c r="A102" s="11"/>
      <c r="B102" s="21">
        <f>SUM(B98:B101)</f>
        <v>11.688000000000001</v>
      </c>
      <c r="C102" s="21"/>
      <c r="D102" s="21"/>
      <c r="E102" s="21"/>
      <c r="F102" s="21"/>
      <c r="G102" s="21"/>
      <c r="H102" s="21"/>
      <c r="I102" s="22">
        <f>B102</f>
        <v>11.688000000000001</v>
      </c>
    </row>
    <row r="103" spans="1:9">
      <c r="B103" s="19"/>
      <c r="C103" s="19"/>
      <c r="D103" s="19"/>
      <c r="E103" s="19"/>
      <c r="F103" s="19"/>
      <c r="G103" s="19"/>
      <c r="H103" s="19"/>
      <c r="I103" s="20"/>
    </row>
    <row r="104" spans="1:9">
      <c r="A104" s="8" t="s">
        <v>57</v>
      </c>
      <c r="B104" s="24">
        <f>(21.7*21.07)*0.2</f>
        <v>91.44380000000001</v>
      </c>
      <c r="C104" s="19"/>
      <c r="D104" s="19"/>
      <c r="E104" s="19"/>
      <c r="F104" s="19"/>
      <c r="G104" s="19"/>
      <c r="H104" s="19"/>
      <c r="I104" s="20"/>
    </row>
    <row r="105" spans="1:9">
      <c r="B105" s="24">
        <f>(21.7*21.07)*0.2</f>
        <v>91.44380000000001</v>
      </c>
      <c r="C105" s="19"/>
      <c r="D105" s="19"/>
      <c r="E105" s="19"/>
      <c r="F105" s="19"/>
      <c r="G105" s="19"/>
      <c r="H105" s="19"/>
      <c r="I105" s="20"/>
    </row>
    <row r="106" spans="1:9">
      <c r="B106" s="24">
        <f>(21.7*21.07)*0.2</f>
        <v>91.44380000000001</v>
      </c>
      <c r="C106" s="19"/>
      <c r="D106" s="19"/>
      <c r="E106" s="19"/>
      <c r="F106" s="19"/>
      <c r="G106" s="19"/>
      <c r="H106" s="19"/>
      <c r="I106" s="20"/>
    </row>
    <row r="107" spans="1:9">
      <c r="B107" s="25">
        <f>(5.25*5.08)*0.2</f>
        <v>5.3340000000000005</v>
      </c>
      <c r="C107" s="21"/>
      <c r="D107" s="21">
        <f>SUM(B104:B108)</f>
        <v>284.50870000000003</v>
      </c>
      <c r="E107" s="19"/>
      <c r="F107" s="19"/>
      <c r="G107" s="19"/>
      <c r="H107" s="19"/>
      <c r="I107" s="20"/>
    </row>
    <row r="108" spans="1:9">
      <c r="B108" s="16">
        <f>(((2.8+9.1)/2)*4.07)*0.2</f>
        <v>4.8433000000000002</v>
      </c>
      <c r="C108" s="26"/>
      <c r="D108" s="26"/>
      <c r="E108" s="19"/>
      <c r="F108" s="19"/>
      <c r="G108" s="19"/>
      <c r="H108" s="19"/>
      <c r="I108" s="20"/>
    </row>
    <row r="109" spans="1:9">
      <c r="B109" s="24"/>
      <c r="C109" s="26"/>
      <c r="D109" s="26"/>
      <c r="E109" s="19"/>
      <c r="F109" s="19"/>
      <c r="G109" s="19"/>
      <c r="H109" s="19"/>
      <c r="I109" s="20"/>
    </row>
    <row r="110" spans="1:9">
      <c r="B110" s="19"/>
      <c r="C110" s="19"/>
      <c r="D110" s="19"/>
      <c r="E110" s="19"/>
      <c r="F110" s="19"/>
      <c r="G110" s="19"/>
      <c r="H110" s="19"/>
      <c r="I110" s="20"/>
    </row>
    <row r="111" spans="1:9">
      <c r="B111" s="19" t="s">
        <v>17</v>
      </c>
      <c r="C111" s="19"/>
      <c r="D111" s="19"/>
      <c r="E111" s="19"/>
      <c r="F111" s="19"/>
      <c r="G111" s="19"/>
      <c r="H111" s="19"/>
      <c r="I111" s="20"/>
    </row>
    <row r="112" spans="1:9">
      <c r="B112" s="24">
        <f>((1.65*2.5) +(4.88*3.05))*0.2</f>
        <v>3.8018000000000001</v>
      </c>
      <c r="C112" s="19"/>
      <c r="D112" s="19"/>
      <c r="E112" s="19"/>
      <c r="F112" s="19"/>
      <c r="G112" s="19"/>
      <c r="H112" s="19"/>
      <c r="I112" s="20"/>
    </row>
    <row r="113" spans="1:9">
      <c r="B113" s="24">
        <f>((1.65*2.5) +(4.88*3.05))*0.2</f>
        <v>3.8018000000000001</v>
      </c>
      <c r="C113" s="19"/>
      <c r="D113" s="19"/>
      <c r="E113" s="19"/>
      <c r="F113" s="19"/>
      <c r="G113" s="19"/>
      <c r="H113" s="19"/>
      <c r="I113" s="20"/>
    </row>
    <row r="114" spans="1:9">
      <c r="B114" s="25">
        <f>((1.65*2.5) +(4.88*3.05))*0.2</f>
        <v>3.8018000000000001</v>
      </c>
      <c r="C114" s="21"/>
      <c r="D114" s="21">
        <f>SUM(B112:B114)</f>
        <v>11.4054</v>
      </c>
      <c r="E114" s="19"/>
      <c r="F114" s="19"/>
      <c r="G114" s="19"/>
      <c r="H114" s="19"/>
      <c r="I114" s="20">
        <f>D107-D114</f>
        <v>273.10330000000005</v>
      </c>
    </row>
    <row r="115" spans="1:9">
      <c r="A115" s="11"/>
      <c r="B115" s="21"/>
      <c r="C115" s="21"/>
      <c r="D115" s="21"/>
      <c r="E115" s="21"/>
      <c r="F115" s="21"/>
      <c r="G115" s="21"/>
      <c r="H115" s="21"/>
      <c r="I115" s="22"/>
    </row>
    <row r="116" spans="1:9">
      <c r="B116" s="19"/>
      <c r="C116" s="19"/>
      <c r="D116" s="19"/>
      <c r="E116" s="19"/>
      <c r="F116" s="19"/>
      <c r="G116" s="19"/>
      <c r="H116" s="19"/>
      <c r="I116" s="20"/>
    </row>
    <row r="117" spans="1:9">
      <c r="A117" s="8" t="s">
        <v>58</v>
      </c>
      <c r="B117" s="24">
        <f>(((4*1.4)*6)*0.15) +(((1.45*3.05)*3)*0.17)</f>
        <v>7.2954749999999988</v>
      </c>
      <c r="C117" s="19"/>
      <c r="D117" s="19"/>
      <c r="E117" s="19"/>
      <c r="F117" s="19"/>
      <c r="G117" s="19"/>
      <c r="H117" s="19"/>
      <c r="I117" s="20">
        <f>B117</f>
        <v>7.2954749999999988</v>
      </c>
    </row>
    <row r="118" spans="1:9">
      <c r="A118" s="11"/>
      <c r="B118" s="21"/>
      <c r="C118" s="21"/>
      <c r="D118" s="21"/>
      <c r="E118" s="21"/>
      <c r="F118" s="21"/>
      <c r="G118" s="21"/>
      <c r="H118" s="21"/>
      <c r="I118" s="22"/>
    </row>
    <row r="119" spans="1:9">
      <c r="B119" s="19"/>
      <c r="C119" s="19"/>
      <c r="D119" s="19"/>
      <c r="E119" s="19"/>
      <c r="F119" s="19"/>
      <c r="G119" s="19"/>
      <c r="H119" s="19"/>
      <c r="I119" s="20"/>
    </row>
    <row r="120" spans="1:9">
      <c r="A120" s="8" t="s">
        <v>59</v>
      </c>
      <c r="B120" s="16">
        <f>((((0.29*0.165)/2)*12)*1.45)*6</f>
        <v>2.4977699999999996</v>
      </c>
      <c r="C120" s="19"/>
      <c r="D120" s="19"/>
      <c r="E120" s="19"/>
      <c r="F120" s="19"/>
      <c r="G120" s="19"/>
      <c r="H120" s="19"/>
      <c r="I120" s="20">
        <f>B120</f>
        <v>2.4977699999999996</v>
      </c>
    </row>
    <row r="121" spans="1:9">
      <c r="A121" s="11"/>
      <c r="B121" s="21"/>
      <c r="C121" s="21"/>
      <c r="D121" s="21"/>
      <c r="E121" s="21"/>
      <c r="F121" s="21"/>
      <c r="G121" s="21"/>
      <c r="H121" s="21"/>
      <c r="I121" s="22"/>
    </row>
    <row r="122" spans="1:9">
      <c r="B122" s="19"/>
      <c r="C122" s="19"/>
      <c r="D122" s="19"/>
      <c r="E122" s="19"/>
      <c r="F122" s="19"/>
      <c r="G122" s="19"/>
      <c r="H122" s="19"/>
      <c r="I122" s="20"/>
    </row>
    <row r="123" spans="1:9">
      <c r="A123" s="8" t="s">
        <v>61</v>
      </c>
      <c r="B123" s="16">
        <f>(((0.2*0.25)*3.4)*3) +((0.3*0.8)*9.1) +((0.3*0.8)*2.8) +((0.3*0.8)*4.1) +((0.3*0.8)*6.6) +((0.3*0.8)*1.9)</f>
        <v>6.3899999999999988</v>
      </c>
      <c r="C123" s="19"/>
      <c r="D123" s="19"/>
      <c r="E123" s="19"/>
      <c r="F123" s="19"/>
      <c r="G123" s="19"/>
      <c r="H123" s="19"/>
      <c r="I123" s="20">
        <f>B123</f>
        <v>6.3899999999999988</v>
      </c>
    </row>
    <row r="124" spans="1:9">
      <c r="A124" s="11"/>
      <c r="B124" s="21"/>
      <c r="C124" s="21"/>
      <c r="D124" s="21"/>
      <c r="E124" s="21"/>
      <c r="F124" s="21"/>
      <c r="G124" s="21"/>
      <c r="H124" s="21"/>
      <c r="I124" s="22"/>
    </row>
    <row r="125" spans="1:9">
      <c r="B125" s="19"/>
      <c r="C125" s="19"/>
      <c r="D125" s="19"/>
      <c r="E125" s="19"/>
      <c r="F125" s="19"/>
      <c r="G125" s="19"/>
      <c r="H125" s="19"/>
      <c r="I125" s="20"/>
    </row>
    <row r="126" spans="1:9">
      <c r="A126" s="8" t="s">
        <v>154</v>
      </c>
      <c r="B126" s="16">
        <f>8.88+48.05+8.09+10.1+9.54+28.25+6.72 +10.69+5.74+27.97+13.33+8.39+13.33 +27.97+16.79+19.18+18.65+2.22+48.31 +4.97+27.18</f>
        <v>364.35</v>
      </c>
      <c r="C126" s="19"/>
      <c r="D126" s="19"/>
      <c r="E126" s="19"/>
      <c r="F126" s="19"/>
      <c r="G126" s="19"/>
      <c r="H126" s="19"/>
      <c r="I126" s="20"/>
    </row>
    <row r="127" spans="1:9">
      <c r="B127" s="16">
        <f>26.59+8.68+9.52+21.23+21.41+4.06+7.94 +10.04+8.05+18.39+18.21+18.25+8.52 +10.75+18.39+18.11+18.58+106.68+13.56 +2.15+27.09</f>
        <v>396.2</v>
      </c>
      <c r="C127" s="19"/>
      <c r="D127" s="19"/>
      <c r="E127" s="19"/>
      <c r="F127" s="19"/>
      <c r="G127" s="19"/>
      <c r="H127" s="19"/>
      <c r="I127" s="20"/>
    </row>
    <row r="128" spans="1:9">
      <c r="B128" s="17">
        <f>26.59+11.49+18.4+18.25+18.25+18.54 +18.11+11.13+13.95+18.1+18.39+18.25 +18.3+8.73+10.75+18.25+104.1+7.65+7.65 +2.22</f>
        <v>387.1</v>
      </c>
      <c r="C128" s="19"/>
      <c r="D128" s="19"/>
      <c r="E128" s="19"/>
      <c r="F128" s="19"/>
      <c r="G128" s="19"/>
      <c r="H128" s="19"/>
      <c r="I128" s="20"/>
    </row>
    <row r="129" spans="1:9">
      <c r="B129" s="19">
        <f>SUM(B126:B128)</f>
        <v>1147.6500000000001</v>
      </c>
      <c r="C129" s="19"/>
      <c r="D129" s="19"/>
      <c r="E129" s="19"/>
      <c r="F129" s="19"/>
      <c r="G129" s="19"/>
      <c r="H129" s="19"/>
      <c r="I129" s="20">
        <f>B129</f>
        <v>1147.6500000000001</v>
      </c>
    </row>
    <row r="130" spans="1:9">
      <c r="B130" s="19"/>
      <c r="C130" s="19"/>
      <c r="D130" s="19"/>
      <c r="E130" s="19"/>
      <c r="F130" s="19"/>
      <c r="G130" s="19"/>
      <c r="H130" s="19"/>
      <c r="I130" s="20"/>
    </row>
    <row r="131" spans="1:9">
      <c r="A131" s="1025" t="s">
        <v>157</v>
      </c>
      <c r="B131" s="1025"/>
      <c r="C131" s="1025"/>
      <c r="D131" s="1025"/>
      <c r="E131" s="19"/>
      <c r="F131" s="19"/>
      <c r="G131" s="19"/>
      <c r="H131" s="19"/>
      <c r="I131" s="20"/>
    </row>
    <row r="132" spans="1:9">
      <c r="B132" s="19"/>
      <c r="C132" s="19"/>
      <c r="D132" s="19"/>
      <c r="E132" s="19"/>
      <c r="F132" s="19"/>
      <c r="G132" s="19"/>
      <c r="H132" s="19"/>
      <c r="I132" s="20"/>
    </row>
    <row r="133" spans="1:9">
      <c r="A133" s="11" t="s">
        <v>40</v>
      </c>
      <c r="B133" s="17">
        <f>(((21.3+21.2)*2)*0.5) +((19.18*2)*0.5) +(((2.9+2)*2)*1.7)</f>
        <v>78.34</v>
      </c>
      <c r="C133" s="21"/>
      <c r="D133" s="21"/>
      <c r="E133" s="21"/>
      <c r="F133" s="21"/>
      <c r="G133" s="21"/>
      <c r="H133" s="21"/>
      <c r="I133" s="22">
        <f>B133</f>
        <v>78.34</v>
      </c>
    </row>
    <row r="134" spans="1:9">
      <c r="B134" s="19"/>
      <c r="C134" s="19"/>
      <c r="D134" s="19"/>
      <c r="E134" s="19"/>
      <c r="F134" s="19"/>
      <c r="G134" s="19"/>
      <c r="H134" s="19"/>
      <c r="I134" s="20"/>
    </row>
    <row r="135" spans="1:9">
      <c r="B135" s="19"/>
      <c r="C135" s="19"/>
      <c r="D135" s="19"/>
      <c r="E135" s="19"/>
      <c r="F135" s="19"/>
      <c r="G135" s="19"/>
      <c r="H135" s="19"/>
      <c r="I135" s="20"/>
    </row>
    <row r="136" spans="1:9">
      <c r="A136" s="11" t="s">
        <v>62</v>
      </c>
      <c r="B136" s="17">
        <f>(((21.3+21.2)*2)*1) +(((0.7+0.7)*19.3)*2)</f>
        <v>139.04</v>
      </c>
      <c r="C136" s="21"/>
      <c r="D136" s="21"/>
      <c r="E136" s="21"/>
      <c r="F136" s="21"/>
      <c r="G136" s="21"/>
      <c r="H136" s="21"/>
      <c r="I136" s="22">
        <f>B136</f>
        <v>139.04</v>
      </c>
    </row>
    <row r="137" spans="1:9">
      <c r="B137" s="19"/>
      <c r="C137" s="19"/>
      <c r="D137" s="19"/>
      <c r="E137" s="19"/>
      <c r="F137" s="19"/>
      <c r="G137" s="19"/>
      <c r="H137" s="19"/>
      <c r="I137" s="20"/>
    </row>
    <row r="138" spans="1:9">
      <c r="B138" s="19"/>
      <c r="C138" s="19"/>
      <c r="D138" s="19"/>
      <c r="E138" s="19"/>
      <c r="F138" s="19"/>
      <c r="G138" s="19"/>
      <c r="H138" s="19"/>
      <c r="I138" s="20"/>
    </row>
    <row r="139" spans="1:9">
      <c r="A139" s="8" t="s">
        <v>63</v>
      </c>
      <c r="B139" s="28">
        <f>(((2.5+1.7)*2)*2)</f>
        <v>16.8</v>
      </c>
      <c r="C139" s="19"/>
      <c r="D139" s="19"/>
      <c r="E139" s="19"/>
      <c r="F139" s="19"/>
      <c r="G139" s="19"/>
      <c r="H139" s="19"/>
      <c r="I139" s="20"/>
    </row>
    <row r="140" spans="1:9">
      <c r="B140" s="16">
        <f>(((8.18*4.3)*3)*2) +((6.05*4.3)*2) +(((7.3*4.3)*2)*2) +(((8.25*4.3)*2)*2) +(((4.9+4.3)*2)*2)</f>
        <v>567.33399999999995</v>
      </c>
      <c r="C140" s="19"/>
      <c r="D140" s="19"/>
      <c r="E140" s="19"/>
      <c r="F140" s="19"/>
      <c r="G140" s="19"/>
      <c r="H140" s="19"/>
      <c r="I140" s="20"/>
    </row>
    <row r="141" spans="1:9">
      <c r="B141" s="16">
        <f>(((8.18*4.3)*3)*2) +((6.05*4.3)*2) +(((7.3*4.3)*2)*2) +(((8.25*4.3)*2)*2) +(((4.9+4.3)*2)*2)</f>
        <v>567.33399999999995</v>
      </c>
      <c r="C141" s="19"/>
      <c r="D141" s="19"/>
      <c r="E141" s="19"/>
      <c r="F141" s="19"/>
      <c r="G141" s="19"/>
      <c r="H141" s="19"/>
      <c r="I141" s="20"/>
    </row>
    <row r="142" spans="1:9">
      <c r="B142" s="16">
        <f>(((8.18*4.3)*3)*2) +((6.05*4.3)*2) +(((7.3*4.3)*2)*2) +(((8.25*4.3)*2)*2) +(((4.9+4.3)*2)*2)</f>
        <v>567.33399999999995</v>
      </c>
      <c r="C142" s="19"/>
      <c r="D142" s="19"/>
      <c r="E142" s="19"/>
      <c r="F142" s="19"/>
      <c r="G142" s="19"/>
      <c r="H142" s="19"/>
      <c r="I142" s="20"/>
    </row>
    <row r="143" spans="1:9">
      <c r="A143" s="11"/>
      <c r="B143" s="29">
        <f>(((6.75*1.9)*2)*2) +(((4.9+1.9)*2)*2)</f>
        <v>78.5</v>
      </c>
      <c r="C143" s="21"/>
      <c r="D143" s="21"/>
      <c r="E143" s="21"/>
      <c r="F143" s="21"/>
      <c r="G143" s="21"/>
      <c r="H143" s="21"/>
      <c r="I143" s="22">
        <f>SUM(B139:B143)</f>
        <v>1797.3019999999997</v>
      </c>
    </row>
    <row r="145" spans="1:9">
      <c r="A145" s="11" t="s">
        <v>66</v>
      </c>
      <c r="B145" s="29">
        <f>((6*1.45)*6) +((4*0.23)*6)</f>
        <v>57.72</v>
      </c>
      <c r="C145" s="4"/>
      <c r="D145" s="4"/>
      <c r="E145" s="4"/>
      <c r="F145" s="4"/>
      <c r="G145" s="4"/>
      <c r="H145" s="4"/>
      <c r="I145" s="10">
        <f>B145</f>
        <v>57.72</v>
      </c>
    </row>
    <row r="147" spans="1:9">
      <c r="A147" s="11" t="s">
        <v>68</v>
      </c>
      <c r="B147" s="29">
        <f>((1.45*0.165)*13)*6</f>
        <v>18.661499999999997</v>
      </c>
      <c r="C147" s="4"/>
      <c r="D147" s="4"/>
      <c r="E147" s="4"/>
      <c r="F147" s="4"/>
      <c r="G147" s="4"/>
      <c r="H147" s="4"/>
      <c r="I147" s="10">
        <f>B147</f>
        <v>18.661499999999997</v>
      </c>
    </row>
    <row r="149" spans="1:9">
      <c r="A149" s="8" t="s">
        <v>107</v>
      </c>
      <c r="B149" s="28">
        <f>(((0.4+0.2)*2)*4.3)*10</f>
        <v>51.6</v>
      </c>
    </row>
    <row r="150" spans="1:9">
      <c r="B150" s="28">
        <f>(((0.4+0.2)*2)*3.4)*10</f>
        <v>40.799999999999997</v>
      </c>
    </row>
    <row r="151" spans="1:9">
      <c r="B151" s="28">
        <f>(((0.4+0.2)*2)*3.4)*10</f>
        <v>40.799999999999997</v>
      </c>
    </row>
    <row r="152" spans="1:9">
      <c r="B152" s="29">
        <f>((((0.3+0.3)*2)*4)*4.8) +(((0.25+0.9)*2)*4.8)</f>
        <v>34.08</v>
      </c>
    </row>
    <row r="153" spans="1:9">
      <c r="A153" s="11"/>
      <c r="B153" s="4">
        <f>SUM(B149:B152)</f>
        <v>167.27999999999997</v>
      </c>
      <c r="C153" s="4"/>
      <c r="D153" s="4"/>
      <c r="E153" s="4"/>
      <c r="F153" s="4"/>
      <c r="G153" s="4"/>
      <c r="H153" s="4"/>
      <c r="I153" s="10">
        <f>B153</f>
        <v>167.27999999999997</v>
      </c>
    </row>
    <row r="155" spans="1:9">
      <c r="A155" s="8" t="s">
        <v>108</v>
      </c>
      <c r="B155" s="29">
        <f>(((0.2+0.25+0.25)*3.4)*3) +((0.3+0.8+0.8)*9.1) +((0.3+0.8+0.8)*2.8) +((0.3+0.8+0.8)*4.1) +((0.3+0.8+0.8)*6.6) +((0.3+0.8+0.8)*1.9)</f>
        <v>53.69</v>
      </c>
      <c r="I155" s="9">
        <f>B155</f>
        <v>53.69</v>
      </c>
    </row>
    <row r="156" spans="1:9">
      <c r="A156" s="11"/>
      <c r="B156" s="4"/>
      <c r="C156" s="4"/>
      <c r="D156" s="4"/>
      <c r="E156" s="4"/>
      <c r="F156" s="4"/>
      <c r="G156" s="4"/>
      <c r="H156" s="4"/>
      <c r="I156" s="10"/>
    </row>
    <row r="158" spans="1:9">
      <c r="A158" s="8" t="s">
        <v>110</v>
      </c>
      <c r="B158" s="28">
        <f>(21.7*21.07) +(((21.7+21.07)*2)*0.2) +(((1.65+2.5)*2)*0.2) +(((4.88+3.05)*2)*0.2)</f>
        <v>479.15900000000005</v>
      </c>
    </row>
    <row r="159" spans="1:9">
      <c r="B159" s="28">
        <f>(21.7*21.07) +(((21.7+21.07)*2)*0.2) +(((1.65+2.5)*2)*0.2) +(((4.88+3.05)*2)*0.2)</f>
        <v>479.15900000000005</v>
      </c>
    </row>
    <row r="160" spans="1:9">
      <c r="B160" s="28">
        <f>(21.7*21.07) +(((21.7+21.07)*2)*0.2) +(((1.65+2.5)*2)*0.2) +(((4.88+3.05)*2)*0.2)</f>
        <v>479.15900000000005</v>
      </c>
    </row>
    <row r="161" spans="1:9">
      <c r="B161" s="28">
        <f>(5.25*5.08) +(((5.25+5.08)*2)*0.2)</f>
        <v>30.802000000000003</v>
      </c>
    </row>
    <row r="162" spans="1:9">
      <c r="B162" s="29">
        <f>(((2.8+9.1)/2)*4.07) +(((2.8+9.1)/2)*0.2)</f>
        <v>25.406500000000001</v>
      </c>
      <c r="E162">
        <f>SUM(B158:B162)</f>
        <v>1493.6855</v>
      </c>
    </row>
    <row r="163" spans="1:9">
      <c r="B163" t="s">
        <v>17</v>
      </c>
    </row>
    <row r="164" spans="1:9">
      <c r="B164" s="28">
        <f>((1.65*2.5) +(4.88*3.05))</f>
        <v>19.009</v>
      </c>
    </row>
    <row r="165" spans="1:9">
      <c r="B165" s="28">
        <f>((1.65*2.5) +(4.88*3.05))</f>
        <v>19.009</v>
      </c>
    </row>
    <row r="166" spans="1:9">
      <c r="A166" s="11"/>
      <c r="B166" s="29">
        <f>((1.65*2.5) +(4.88*3.05))</f>
        <v>19.009</v>
      </c>
      <c r="C166" s="4"/>
      <c r="D166" s="4"/>
      <c r="E166" s="4">
        <f>SUM(B164:B166)</f>
        <v>57.027000000000001</v>
      </c>
      <c r="F166" s="4"/>
      <c r="G166" s="4"/>
      <c r="H166" s="4"/>
      <c r="I166" s="10">
        <f>E162-E166</f>
        <v>1436.6585</v>
      </c>
    </row>
    <row r="168" spans="1:9">
      <c r="A168" s="1025" t="s">
        <v>174</v>
      </c>
      <c r="B168" s="1025"/>
      <c r="C168" s="1025"/>
      <c r="D168" s="1025"/>
    </row>
    <row r="170" spans="1:9">
      <c r="A170" s="11" t="s">
        <v>41</v>
      </c>
      <c r="B170" s="29">
        <f>(21.3*21.18) +(((21.3+21.18)*2)*0.2) +(((2.3+3.1)*2)*2)</f>
        <v>489.72600000000006</v>
      </c>
      <c r="C170" s="4"/>
      <c r="D170" s="4"/>
      <c r="E170" s="4"/>
      <c r="F170" s="4"/>
      <c r="G170" s="4"/>
      <c r="H170" s="4"/>
      <c r="I170" s="10">
        <f>B170</f>
        <v>489.72600000000006</v>
      </c>
    </row>
    <row r="172" spans="1:9">
      <c r="A172" s="8" t="s">
        <v>179</v>
      </c>
      <c r="B172" s="30">
        <f>(14.71+6.76+1.71) +((31.68+18.46+5.25)*0.15)</f>
        <v>31.488500000000002</v>
      </c>
    </row>
    <row r="173" spans="1:9">
      <c r="B173" s="30">
        <f>(14.15+6.38+1.89)+((37.3+20.5+5.36)*0.15)</f>
        <v>31.893999999999998</v>
      </c>
    </row>
    <row r="174" spans="1:9">
      <c r="A174" s="11"/>
      <c r="B174" s="31">
        <f>(14.16+6.38+1.89) +((37.3+20.5+5.36)*0.15)</f>
        <v>31.903999999999996</v>
      </c>
      <c r="C174" s="4"/>
      <c r="D174" s="4">
        <f>SUM(B172:B174)</f>
        <v>95.28649999999999</v>
      </c>
      <c r="E174" s="4"/>
      <c r="F174" s="4"/>
      <c r="G174" s="4"/>
      <c r="H174" s="4"/>
      <c r="I174" s="10">
        <f>D174</f>
        <v>95.28649999999999</v>
      </c>
    </row>
    <row r="176" spans="1:9">
      <c r="A176" s="8" t="s">
        <v>42</v>
      </c>
      <c r="B176" s="28">
        <f>(20.66*7.75) +(4.85*15.8) +(9.95*7.75) +(6.95*7.75) +(3.3*7.75) +(4.9*3.05) +(2.1*1.65)</f>
        <v>411.70499999999998</v>
      </c>
      <c r="I176" s="9">
        <f>B176</f>
        <v>411.70499999999998</v>
      </c>
    </row>
    <row r="177" spans="1:9">
      <c r="A177" s="11"/>
      <c r="B177" s="4"/>
      <c r="C177" s="4"/>
      <c r="D177" s="4"/>
      <c r="E177" s="4"/>
      <c r="F177" s="4"/>
      <c r="G177" s="4"/>
      <c r="H177" s="4"/>
      <c r="I177" s="10"/>
    </row>
    <row r="179" spans="1:9">
      <c r="A179" s="8" t="s">
        <v>43</v>
      </c>
      <c r="B179" s="28">
        <f>(20.66*7.75) +(4.85*15.8) +(9.95*7.75) +(6.95*7.75) +(3.3*7.75) +(2.1*1.65) +(((2.8+9.1)/2)*4.07)</f>
        <v>420.97649999999999</v>
      </c>
    </row>
    <row r="180" spans="1:9">
      <c r="B180" s="28">
        <f>(20.66*7.75) +(4.85*15.8) +(9.95*7.75) +(6.95*7.75) +(3.3*7.75) +(2.1*1.65)</f>
        <v>396.76</v>
      </c>
      <c r="I180" s="9">
        <f>SUM(B179:B180)</f>
        <v>817.73649999999998</v>
      </c>
    </row>
    <row r="197" spans="1:9">
      <c r="A197" s="1025" t="s">
        <v>183</v>
      </c>
      <c r="B197" s="1025"/>
      <c r="C197" s="1025"/>
      <c r="D197" s="1025"/>
      <c r="E197" s="4"/>
      <c r="F197" s="4"/>
      <c r="G197" s="4"/>
      <c r="H197" s="4"/>
      <c r="I197" s="10"/>
    </row>
    <row r="199" spans="1:9">
      <c r="A199" s="8" t="s">
        <v>45</v>
      </c>
      <c r="B199" s="3">
        <f>(4.2*6)+1.45</f>
        <v>26.650000000000002</v>
      </c>
      <c r="I199" s="9">
        <f>B199</f>
        <v>26.650000000000002</v>
      </c>
    </row>
    <row r="200" spans="1:9">
      <c r="A200" s="11"/>
      <c r="B200" s="4"/>
      <c r="C200" s="4"/>
      <c r="D200" s="4"/>
      <c r="E200" s="4"/>
      <c r="F200" s="4"/>
      <c r="G200" s="4"/>
      <c r="H200" s="4"/>
      <c r="I200" s="10"/>
    </row>
    <row r="206" spans="1:9">
      <c r="A206" s="1025" t="s">
        <v>186</v>
      </c>
      <c r="B206" s="1025"/>
      <c r="C206" s="1025"/>
      <c r="D206" s="1025"/>
      <c r="E206" s="4"/>
      <c r="F206" s="4"/>
      <c r="G206" s="4"/>
      <c r="H206" s="4"/>
      <c r="I206" s="10"/>
    </row>
    <row r="209" spans="1:9">
      <c r="A209" s="8" t="s">
        <v>46</v>
      </c>
      <c r="B209" s="28">
        <f>((10.2*2)*21.1) +((2.3*2)*6.65)</f>
        <v>461.03</v>
      </c>
    </row>
    <row r="211" spans="1:9">
      <c r="A211" s="11"/>
      <c r="B211" s="29">
        <f>6.85*5.5</f>
        <v>37.674999999999997</v>
      </c>
      <c r="C211" s="4"/>
      <c r="D211" s="4"/>
      <c r="E211" s="4"/>
      <c r="F211" s="4"/>
      <c r="G211" s="4"/>
      <c r="H211" s="4"/>
      <c r="I211" s="10">
        <f>B209-B211</f>
        <v>423.35499999999996</v>
      </c>
    </row>
    <row r="214" spans="1:9">
      <c r="A214" s="8" t="s">
        <v>187</v>
      </c>
      <c r="B214" s="3">
        <f>((21.1+21.1)*1.4) +((6.65+6.65)*1)</f>
        <v>72.38</v>
      </c>
      <c r="I214" s="9">
        <f>B214</f>
        <v>72.38</v>
      </c>
    </row>
    <row r="215" spans="1:9">
      <c r="A215" s="11"/>
      <c r="B215" s="4"/>
      <c r="C215" s="4"/>
      <c r="D215" s="4"/>
      <c r="E215" s="4"/>
      <c r="F215" s="4"/>
      <c r="G215" s="4"/>
      <c r="H215" s="4"/>
      <c r="I215" s="10"/>
    </row>
    <row r="217" spans="1:9">
      <c r="A217" s="8" t="s">
        <v>71</v>
      </c>
      <c r="B217" s="32">
        <f>(12.7*4) +(1.2*4)</f>
        <v>55.599999999999994</v>
      </c>
      <c r="I217" s="9">
        <f>B217</f>
        <v>55.599999999999994</v>
      </c>
    </row>
    <row r="220" spans="1:9">
      <c r="A220" s="8" t="s">
        <v>191</v>
      </c>
      <c r="B220" s="32">
        <f>((21.3+21.4)*2)+((5.5+6.95)*2)</f>
        <v>110.30000000000001</v>
      </c>
      <c r="I220" s="9">
        <f>B220</f>
        <v>110.30000000000001</v>
      </c>
    </row>
    <row r="222" spans="1:9">
      <c r="A222" s="1025" t="s">
        <v>195</v>
      </c>
      <c r="B222" s="1025"/>
      <c r="C222" s="1025"/>
      <c r="D222" s="1025"/>
    </row>
    <row r="224" spans="1:9">
      <c r="A224" s="8" t="s">
        <v>75</v>
      </c>
      <c r="B224" s="32">
        <f>(31.68+18.46+5.25)*3.25</f>
        <v>180.01750000000001</v>
      </c>
    </row>
    <row r="225" spans="1:9">
      <c r="B225" s="32">
        <f>((1.1*2.2)*3) +((2*2.2)*3)</f>
        <v>20.46</v>
      </c>
    </row>
    <row r="226" spans="1:9">
      <c r="B226" s="33">
        <f>(4.3*2.2) +(3.05*2.2)</f>
        <v>16.170000000000002</v>
      </c>
      <c r="C226" s="4"/>
      <c r="D226" s="4">
        <f>SUM(B224:B226)</f>
        <v>216.64750000000004</v>
      </c>
    </row>
    <row r="227" spans="1:9">
      <c r="B227" s="32"/>
    </row>
    <row r="228" spans="1:9">
      <c r="B228" s="32"/>
    </row>
    <row r="229" spans="1:9">
      <c r="B229" s="32"/>
    </row>
    <row r="230" spans="1:9">
      <c r="B230" s="32"/>
    </row>
    <row r="231" spans="1:9">
      <c r="B231" s="32">
        <f>(37.3+20.5+5.36)*2.7</f>
        <v>170.53200000000001</v>
      </c>
    </row>
    <row r="232" spans="1:9">
      <c r="B232" s="33">
        <f>(3.05*2.7) +((2*2.2)*7) +(5.6*2.7) +(5.5*2.7)</f>
        <v>69.004999999999995</v>
      </c>
      <c r="C232" s="4"/>
      <c r="D232" s="4">
        <f>SUM(B231:B232)</f>
        <v>239.53700000000001</v>
      </c>
    </row>
    <row r="233" spans="1:9">
      <c r="B233" s="32"/>
    </row>
    <row r="234" spans="1:9">
      <c r="B234" s="32">
        <f>(37.3+20.5+5.36)*2.7</f>
        <v>170.53200000000001</v>
      </c>
    </row>
    <row r="235" spans="1:9">
      <c r="B235" s="33">
        <f>((2*2.7)*7) +((5.5*2.7)*2) +(2.5*2.7) +(1.1*2.2)*2</f>
        <v>79.09</v>
      </c>
      <c r="C235" s="4"/>
      <c r="D235" s="4">
        <f>SUM(B234:B235)</f>
        <v>249.62200000000001</v>
      </c>
      <c r="H235">
        <f>SUM(D226:D235)</f>
        <v>705.80650000000014</v>
      </c>
    </row>
    <row r="236" spans="1:9">
      <c r="B236" s="32"/>
    </row>
    <row r="237" spans="1:9">
      <c r="B237" s="32"/>
    </row>
    <row r="238" spans="1:9">
      <c r="B238" s="33">
        <f>((0.8*2.2)*17)*3</f>
        <v>89.760000000000019</v>
      </c>
      <c r="H238">
        <f>B238</f>
        <v>89.760000000000019</v>
      </c>
      <c r="I238" s="9">
        <f>H235-H238</f>
        <v>616.04650000000015</v>
      </c>
    </row>
    <row r="239" spans="1:9">
      <c r="A239" s="11"/>
      <c r="B239" s="33"/>
      <c r="C239" s="4"/>
      <c r="D239" s="4"/>
      <c r="E239" s="4"/>
      <c r="F239" s="4"/>
      <c r="G239" s="4"/>
      <c r="H239" s="4"/>
      <c r="I239" s="10"/>
    </row>
    <row r="240" spans="1:9">
      <c r="B240" s="32"/>
    </row>
    <row r="242" spans="1:9">
      <c r="A242" s="8" t="s">
        <v>76</v>
      </c>
      <c r="B242" s="32">
        <f>(31.68+18.46+5.25) +(37.3+20.5+5.36) +(37.3+20.5+5.36)</f>
        <v>181.70999999999998</v>
      </c>
      <c r="I242" s="9">
        <f>B242</f>
        <v>181.70999999999998</v>
      </c>
    </row>
    <row r="244" spans="1:9">
      <c r="A244" s="11"/>
      <c r="B244" s="4"/>
      <c r="C244" s="4"/>
      <c r="D244" s="4"/>
      <c r="E244" s="4"/>
      <c r="F244" s="4"/>
      <c r="G244" s="4"/>
      <c r="H244" s="4"/>
      <c r="I244" s="10"/>
    </row>
    <row r="247" spans="1:9">
      <c r="A247" s="1025" t="s">
        <v>210</v>
      </c>
      <c r="B247" s="1025"/>
      <c r="C247" s="1025"/>
      <c r="D247" s="1025"/>
      <c r="E247" s="4"/>
      <c r="F247" s="4"/>
      <c r="G247" s="4"/>
      <c r="H247" s="4"/>
      <c r="I247" s="10"/>
    </row>
    <row r="249" spans="1:9">
      <c r="A249" s="8" t="s">
        <v>82</v>
      </c>
      <c r="B249" s="3">
        <f>(5.6+4.66+5.6+2+4.85+4.85 +7.3+5.6)*4.1</f>
        <v>165.886</v>
      </c>
    </row>
    <row r="250" spans="1:9">
      <c r="B250" s="3">
        <f>(20.68 +(5.6*5) +3.55 +0.65 +10.07 +(5.6*3) +1.4 +2.1 +3.3 +3.45 +3.5 +2.65 +4.85+4.2) *3.4</f>
        <v>357.68</v>
      </c>
    </row>
    <row r="251" spans="1:9">
      <c r="A251" s="36"/>
      <c r="B251" s="3">
        <f>(20.68 +(5.6*5) +3.55 +0.65 +10.07 +(5.6*5) +1.4 +2.1 +3.3 +3.45 +3.5 +2.65 +4.85+4.2) *3.4</f>
        <v>395.75999999999993</v>
      </c>
      <c r="C251" s="2"/>
      <c r="D251" s="2"/>
      <c r="E251" s="2"/>
      <c r="F251" s="2">
        <f>SUM(B249:B251)</f>
        <v>919.32600000000002</v>
      </c>
      <c r="G251" s="2"/>
      <c r="H251" s="2"/>
      <c r="I251" s="37"/>
    </row>
    <row r="252" spans="1:9">
      <c r="B252" s="3"/>
    </row>
    <row r="253" spans="1:9">
      <c r="B253" t="s">
        <v>17</v>
      </c>
    </row>
    <row r="254" spans="1:9">
      <c r="B254" s="3">
        <f>((0.9*2.2)*6) +(3.14*1.3)</f>
        <v>15.962000000000002</v>
      </c>
    </row>
    <row r="255" spans="1:9">
      <c r="B255" s="3">
        <f>((0.9*2.2)*16) +(4.2*1.3)</f>
        <v>37.14</v>
      </c>
    </row>
    <row r="256" spans="1:9">
      <c r="B256" s="3">
        <f>((0.9*2.2*16)+(5.2*1.3))</f>
        <v>38.440000000000005</v>
      </c>
      <c r="F256">
        <f>SUM(B254:B256)</f>
        <v>91.542000000000002</v>
      </c>
      <c r="I256" s="9">
        <f>F251-F256</f>
        <v>827.78399999999999</v>
      </c>
    </row>
    <row r="257" spans="1:9">
      <c r="A257" s="11"/>
      <c r="B257" s="4"/>
      <c r="C257" s="4"/>
      <c r="D257" s="4"/>
      <c r="E257" s="4"/>
      <c r="F257" s="4"/>
      <c r="G257" s="4"/>
      <c r="H257" s="4"/>
      <c r="I257" s="10"/>
    </row>
    <row r="259" spans="1:9">
      <c r="A259" s="8" t="s">
        <v>83</v>
      </c>
      <c r="B259" s="5">
        <f>(3.7+4.85+4.85+4.85+1.55+(1.9*3))*4.1</f>
        <v>104.55</v>
      </c>
    </row>
    <row r="260" spans="1:9">
      <c r="B260" s="5">
        <f>(3.7+4.85+4.85+4.85+1.55+(1.9*6))*3.4</f>
        <v>106.08</v>
      </c>
    </row>
    <row r="261" spans="1:9">
      <c r="A261" s="11"/>
      <c r="B261" s="7">
        <f>(3.7+4.85+4.85+4.85+1.55+(1.9*6))*3.4</f>
        <v>106.08</v>
      </c>
      <c r="C261" s="4"/>
      <c r="D261" s="35"/>
      <c r="E261" s="4"/>
      <c r="F261" s="4">
        <f>SUM(B259:B261)</f>
        <v>316.70999999999998</v>
      </c>
      <c r="G261" s="4"/>
      <c r="H261" s="4"/>
      <c r="I261" s="10"/>
    </row>
    <row r="263" spans="1:9">
      <c r="A263" s="8" t="s">
        <v>211</v>
      </c>
      <c r="B263" s="3">
        <f>(1.6*4.3) +((1.6*3.4)*2)</f>
        <v>17.760000000000002</v>
      </c>
      <c r="I263" s="9">
        <f>B263</f>
        <v>17.760000000000002</v>
      </c>
    </row>
    <row r="264" spans="1:9">
      <c r="A264" s="11"/>
      <c r="B264" s="4"/>
      <c r="C264" s="4"/>
      <c r="D264" s="4"/>
      <c r="E264" s="4"/>
      <c r="F264" s="4"/>
      <c r="G264" s="4"/>
      <c r="H264" s="4"/>
      <c r="I264" s="10"/>
    </row>
    <row r="266" spans="1:9">
      <c r="A266" s="8" t="s">
        <v>84</v>
      </c>
      <c r="B266" s="34">
        <f>(7.72 +4.85+ 7.72 +7.15 +(5.6*4) +7 +(1.6*4) +(1.25*2) +8.5 +(1.65*2) +5.6)*4.3</f>
        <v>357.50199999999995</v>
      </c>
    </row>
    <row r="267" spans="1:9">
      <c r="B267" s="34"/>
    </row>
    <row r="268" spans="1:9">
      <c r="A268" s="11"/>
      <c r="B268" s="38">
        <f>(0.9*2.2)*19</f>
        <v>37.620000000000005</v>
      </c>
      <c r="C268" s="4"/>
      <c r="D268" s="4"/>
      <c r="E268" s="4"/>
      <c r="F268" s="4"/>
      <c r="G268" s="4"/>
      <c r="H268" s="4"/>
      <c r="I268" s="10">
        <f>B266-B268</f>
        <v>319.88199999999995</v>
      </c>
    </row>
    <row r="269" spans="1:9">
      <c r="A269" s="8" t="s">
        <v>215</v>
      </c>
      <c r="B269" s="39">
        <f>9.54+28.25+10.69+27.97+13.33+8.39 +13.33+27.97+16.79</f>
        <v>156.25999999999996</v>
      </c>
      <c r="I269" s="9">
        <f>B269</f>
        <v>156.25999999999996</v>
      </c>
    </row>
    <row r="270" spans="1:9">
      <c r="A270" s="11"/>
      <c r="B270" s="38"/>
      <c r="C270" s="4"/>
      <c r="D270" s="4"/>
      <c r="E270" s="4"/>
      <c r="F270" s="4"/>
      <c r="G270" s="4"/>
      <c r="H270" s="4"/>
      <c r="I270" s="10"/>
    </row>
    <row r="271" spans="1:9">
      <c r="B271" s="34"/>
    </row>
    <row r="272" spans="1:9">
      <c r="A272" s="8" t="s">
        <v>97</v>
      </c>
      <c r="B272" s="32">
        <f>8.88+48.05+8.09+10.1+6.72+5.74+19.18 +18.65+2.22+14.71+6.76+1.71+48.31</f>
        <v>199.12</v>
      </c>
    </row>
    <row r="273" spans="1:9">
      <c r="B273" s="32">
        <f>26.59+8.68+9.52+21.23+23.41+4.06+7.94 +10.04+8.05+18.39+18.21+18.25+8.52 +10.75+18.39+18.11+18.58+14.15+6.38        +1.89 +106.68+27.09</f>
        <v>404.90999999999997</v>
      </c>
    </row>
    <row r="274" spans="1:9">
      <c r="A274" s="11"/>
      <c r="B274" s="33">
        <f>26.59+11.49+18.4+18.25+18.25+18.54 +18.11+11.13+18.1+18.39+18.25+18.3 +10.75+18.25+14.16+6.38+1.89+104.1 +7.65+7.65</f>
        <v>384.63</v>
      </c>
      <c r="C274" s="4"/>
      <c r="D274" s="4"/>
      <c r="E274" s="4"/>
      <c r="F274" s="4"/>
      <c r="G274" s="4"/>
      <c r="H274" s="4"/>
      <c r="I274" s="10">
        <f>SUM(B272:B274)</f>
        <v>988.66</v>
      </c>
    </row>
    <row r="275" spans="1:9">
      <c r="B275" s="34"/>
    </row>
    <row r="279" spans="1:9">
      <c r="A279" s="1025" t="s">
        <v>226</v>
      </c>
      <c r="B279" s="1025"/>
      <c r="C279" s="1025"/>
      <c r="D279" s="1025"/>
    </row>
    <row r="281" spans="1:9">
      <c r="A281" s="8" t="s">
        <v>86</v>
      </c>
      <c r="B281" s="40">
        <f>9.54+28.25+10.69+5.74+27.97+13.33+8.39+13.33+27.97+16.79+19.18+18.65+2.22+4.97</f>
        <v>207.01999999999998</v>
      </c>
    </row>
    <row r="282" spans="1:9">
      <c r="B282" s="40">
        <f>(14.61+21.28+15.02+21.19+18.9+13.16+18.9+21.19+21.25+22.1+21.91+6+9.9)*0.15</f>
        <v>33.811499999999995</v>
      </c>
    </row>
    <row r="283" spans="1:9">
      <c r="B283" s="40">
        <f>18.39+18.21+18.25+18.39+13.56</f>
        <v>86.800000000000011</v>
      </c>
    </row>
    <row r="284" spans="1:9">
      <c r="B284" s="40">
        <f>(17.8+17.8+17.8+17.75+23.4)*0.15</f>
        <v>14.182500000000001</v>
      </c>
    </row>
    <row r="285" spans="1:9">
      <c r="B285" s="40">
        <f>18.54+18.1+18.39+18.25+18.3+18.25+7.65+7.65</f>
        <v>125.13000000000001</v>
      </c>
    </row>
    <row r="286" spans="1:9">
      <c r="B286" s="40">
        <f>(17.8+17.7+17.8+17.8+17.8+17.8+13.4+13.4)*0.15</f>
        <v>20.024999999999999</v>
      </c>
      <c r="I286" s="9">
        <f>SUM(B281:B286)</f>
        <v>486.96899999999994</v>
      </c>
    </row>
    <row r="287" spans="1:9">
      <c r="A287" s="11"/>
      <c r="B287" s="4"/>
      <c r="C287" s="4"/>
      <c r="D287" s="4"/>
      <c r="E287" s="4"/>
      <c r="F287" s="4"/>
      <c r="G287" s="4"/>
      <c r="H287" s="4"/>
      <c r="I287" s="10"/>
    </row>
    <row r="289" spans="1:9">
      <c r="A289" s="8" t="s">
        <v>87</v>
      </c>
      <c r="B289" s="40">
        <f>8.8+48.05+8.09+10.1+6.72+48.31+27.18</f>
        <v>157.25</v>
      </c>
    </row>
    <row r="290" spans="1:9">
      <c r="B290" s="40">
        <f>(11.87+34.04+11.53+14.02+13.6+64.31+28.97)*0.15</f>
        <v>26.751000000000001</v>
      </c>
    </row>
    <row r="291" spans="1:9">
      <c r="B291" s="40"/>
    </row>
    <row r="292" spans="1:9">
      <c r="B292" s="40">
        <f>26.59+8.68+9.52+21.23+23.41+4.06+7.94+10.04+8.05+8.52+10.75+18.11+18.58+106.68+2.15+27.09</f>
        <v>311.39999999999992</v>
      </c>
    </row>
    <row r="293" spans="1:9">
      <c r="B293" s="40">
        <f>(20+11.73+12.33+19.35+19.47+8.07+13.92+12.72+10.41+11.9+13.2+17.7+17.57+96.66+5.89+23.74)*0.15</f>
        <v>47.198999999999991</v>
      </c>
    </row>
    <row r="294" spans="1:9">
      <c r="B294" s="40"/>
    </row>
    <row r="295" spans="1:9">
      <c r="B295" s="40">
        <f>26.59+11.49+18.4+18.25+18.25+18.11+11.13+13.95+8.73+10.75+104.1+2.22</f>
        <v>261.97000000000003</v>
      </c>
    </row>
    <row r="296" spans="1:9">
      <c r="B296" s="40">
        <f>(20+14.92+13.85+17.8+17.8+17.7+13.35+16.41+11.9+13.2+96.66+6)*0.15</f>
        <v>38.938500000000005</v>
      </c>
      <c r="I296" s="9">
        <f>SUM(B289:B296)</f>
        <v>843.50849999999991</v>
      </c>
    </row>
    <row r="300" spans="1:9">
      <c r="A300" s="1025" t="s">
        <v>243</v>
      </c>
      <c r="B300" s="1025"/>
      <c r="C300" s="1025"/>
      <c r="D300" s="1025"/>
    </row>
    <row r="302" spans="1:9">
      <c r="A302" s="8" t="s">
        <v>91</v>
      </c>
      <c r="B302" t="s">
        <v>47</v>
      </c>
    </row>
    <row r="304" spans="1:9">
      <c r="B304" t="s">
        <v>233</v>
      </c>
    </row>
    <row r="305" spans="2:8">
      <c r="B305" s="40">
        <f>((11.87+34.04+11.53+14.02+14.61+21.28+13.6+15.02+9.74+21.19+18.9+13.16+18.9+21.19+21.25+22.1+21.91+6+5.25+64.31+9.9+7.49+28.97)*3.25)</f>
        <v>1385.2474999999999</v>
      </c>
    </row>
    <row r="306" spans="2:8">
      <c r="B306" t="s">
        <v>17</v>
      </c>
    </row>
    <row r="307" spans="2:8">
      <c r="B307" s="40">
        <f>((((0.9*2.2)*2)*2)*26) +((1.54*2.75)*6) +((2.45*3.25)*3) +(1.8*3.25) +(3.15*1.3) +((4*3.25)*4)</f>
        <v>317.16250000000008</v>
      </c>
      <c r="H307">
        <f>B305-B307</f>
        <v>1068.0849999999998</v>
      </c>
    </row>
    <row r="308" spans="2:8">
      <c r="B308" t="s">
        <v>244</v>
      </c>
    </row>
    <row r="309" spans="2:8">
      <c r="B309" s="40">
        <f>(8.88+48.05+8.09+10.1+9.54+28.25+6.72 +10.96+5.74+27.97+13.33+8.39+13.33 +27.97+16.79+19.18+18.65+2.22+14.71 +6.76+1.71+48.31+4.97)  +((6.3+6.3)*1.45)</f>
        <v>378.89</v>
      </c>
      <c r="H309">
        <f>B309</f>
        <v>378.89</v>
      </c>
    </row>
    <row r="311" spans="2:8">
      <c r="B311" t="s">
        <v>50</v>
      </c>
    </row>
    <row r="313" spans="2:8">
      <c r="B313" t="s">
        <v>233</v>
      </c>
    </row>
    <row r="314" spans="2:8">
      <c r="B314" s="40">
        <f>((20+11.73+12.33+19.35+19.47+8.07 +13.92+12.72+10.41+17.8+17.8+17.8+11.9 +13.2+17.75+17.7+17.87+5.36+96.66 +23.4+5.89)*2.8)</f>
        <v>1095.164</v>
      </c>
    </row>
    <row r="315" spans="2:8">
      <c r="B315" t="s">
        <v>17</v>
      </c>
    </row>
    <row r="316" spans="2:8">
      <c r="B316" s="40">
        <f>(((0.9*2.2)*2)*27) +((1.54*2.8)*11) +(1.8*2.8) +((2.54*2)*1.3) +((2.5*2)*1.3) +((4*2.8)*4) +(2.7*3.4)</f>
        <v>226.476</v>
      </c>
      <c r="H316">
        <f>B314-B316</f>
        <v>868.68799999999999</v>
      </c>
    </row>
    <row r="317" spans="2:8">
      <c r="B317" t="s">
        <v>234</v>
      </c>
    </row>
    <row r="318" spans="2:8">
      <c r="B318" s="40">
        <f>(26.59+8.68+9.52+21.23+23.41+4.06+7.94+10.04+8.05+18.39+18.21+18.25+8.52+10.75+18.39+18.11+18.58+14.15+6.38+1.89+106.68+13.56+2.15+27.09) +((6.3+6.3)*1.45)</f>
        <v>438.88999999999993</v>
      </c>
      <c r="H318">
        <f>B318</f>
        <v>438.88999999999993</v>
      </c>
    </row>
    <row r="319" spans="2:8">
      <c r="B319" s="40"/>
    </row>
    <row r="320" spans="2:8">
      <c r="B320" s="40"/>
    </row>
    <row r="321" spans="1:9">
      <c r="B321" s="40"/>
    </row>
    <row r="323" spans="1:9">
      <c r="B323" t="s">
        <v>51</v>
      </c>
    </row>
    <row r="325" spans="1:9">
      <c r="B325" t="s">
        <v>233</v>
      </c>
    </row>
    <row r="326" spans="1:9">
      <c r="B326" s="40">
        <f>(20+14.92+13.85+17.8+17.8+17.8 +17.7+13.35+16.41+17.7+17.8+17.8 +17.8+11.9+13.2+17.8+5.36+96.66 +13.4+13.4+6)*2.8</f>
        <v>1115.6599999999996</v>
      </c>
    </row>
    <row r="327" spans="1:9">
      <c r="B327" t="s">
        <v>17</v>
      </c>
    </row>
    <row r="328" spans="1:9">
      <c r="B328" s="40">
        <f>(((0.9*2.2)*2)*27) +((1.54*2.8)*11) +(1.8*2.8) +(2.7*3.4) +((4*2.8)*4) +(2.2*1.3) +(4.4*1.3)</f>
        <v>221.95200000000003</v>
      </c>
      <c r="H328">
        <f>B326-B328</f>
        <v>893.70799999999963</v>
      </c>
    </row>
    <row r="329" spans="1:9">
      <c r="B329" t="s">
        <v>234</v>
      </c>
    </row>
    <row r="330" spans="1:9">
      <c r="B330" s="40">
        <f>(26.59+11.49+18.4+18.25+18.25+18.54+18.11+11.13+13.95+18.1+18.39+18.25+18.3+8.73+10.75+18.25+14.16+6.38+1.89+104.1+7.65+7.65+2.22) +((6.3+6.3)*1.45)</f>
        <v>427.79999999999995</v>
      </c>
      <c r="H330">
        <f>B330</f>
        <v>427.79999999999995</v>
      </c>
      <c r="I330" s="9">
        <f>SUM(H307:H330)</f>
        <v>4076.0609999999997</v>
      </c>
    </row>
    <row r="333" spans="1:9">
      <c r="A333" s="8" t="s">
        <v>92</v>
      </c>
      <c r="B333" s="6" t="s">
        <v>47</v>
      </c>
    </row>
    <row r="334" spans="1:9">
      <c r="B334" s="40" t="s">
        <v>233</v>
      </c>
    </row>
    <row r="335" spans="1:9">
      <c r="B335" s="40">
        <f>((11.87+34.04+11.53+14.02+14.61+21.28 +13.6+15.02+9.74+21.19+18.9+13.16 +18.9+21.19+21.25+22.1+21.91+6+5.25 +64.31+9.9+7.49+28.97)*3.25)</f>
        <v>1385.2474999999999</v>
      </c>
    </row>
    <row r="336" spans="1:9">
      <c r="B336" s="40" t="s">
        <v>123</v>
      </c>
    </row>
    <row r="337" spans="1:9">
      <c r="B337" s="40">
        <f>((((0.9*2.2)*2)*2)*26) +((1.54*2.75)*6) +((2.45*3.25)*3) +(1.8*3.25) +(3.15*1.3) +((4*3.25)*4)</f>
        <v>317.16250000000008</v>
      </c>
      <c r="H337">
        <f>B335-B337</f>
        <v>1068.0849999999998</v>
      </c>
    </row>
    <row r="338" spans="1:9">
      <c r="B338" s="6" t="s">
        <v>50</v>
      </c>
    </row>
    <row r="339" spans="1:9">
      <c r="B339" s="40" t="s">
        <v>233</v>
      </c>
    </row>
    <row r="340" spans="1:9">
      <c r="B340" s="40">
        <f>((20+11.73+12.33+19.35+19.47+8.07 +13.92+12.72+10.41+17.8+17.8+17.8+11.9 +13.2+17.75+17.7+17.87+5.36+96.66 +23.4+5.89)*2.8)</f>
        <v>1095.164</v>
      </c>
    </row>
    <row r="341" spans="1:9">
      <c r="B341" s="40" t="s">
        <v>123</v>
      </c>
    </row>
    <row r="342" spans="1:9">
      <c r="B342" s="40">
        <f>(((0.9*2.2)*2)*27) +((1.54*2.8)*11) +(1.8*2.8) +((2.54*2)*1.3) +((2.5*2)*1.3) +((4*2.8)*4) +(2.7*3.4)</f>
        <v>226.476</v>
      </c>
      <c r="H342">
        <f>B340-B342</f>
        <v>868.68799999999999</v>
      </c>
    </row>
    <row r="343" spans="1:9">
      <c r="B343" s="6" t="s">
        <v>51</v>
      </c>
    </row>
    <row r="344" spans="1:9">
      <c r="B344" s="40" t="s">
        <v>233</v>
      </c>
    </row>
    <row r="345" spans="1:9">
      <c r="B345" s="40">
        <f>(20+14.92+13.85+17.8+17.8+17.8 +17.7+13.35+16.41+17.7+17.8+17.8 +17.8+11.9+13.2+17.8+5.36+96.66 +13.4+13.4+6)*2.8</f>
        <v>1115.6599999999996</v>
      </c>
    </row>
    <row r="346" spans="1:9">
      <c r="B346" s="40" t="s">
        <v>123</v>
      </c>
    </row>
    <row r="347" spans="1:9">
      <c r="B347" s="41">
        <f>(((0.9*2.2)*2)*27) +((1.54*2.8)*11) +(1.8*2.8) +(2.7*3.4) +((4*2.8)*4) +(2.2*1.3) +(4.4*1.3)</f>
        <v>221.95200000000003</v>
      </c>
      <c r="H347">
        <f>B345-B347</f>
        <v>893.70799999999963</v>
      </c>
      <c r="I347" s="9">
        <f>SUM(H333:H349)</f>
        <v>2873.2309999999993</v>
      </c>
    </row>
    <row r="348" spans="1:9">
      <c r="B348" s="41"/>
    </row>
    <row r="349" spans="1:9">
      <c r="B349" s="41">
        <f>(4.85+1.5+1.8+4.9+3.05+6.4)*1.9</f>
        <v>42.75</v>
      </c>
      <c r="H349">
        <f>B349</f>
        <v>42.75</v>
      </c>
    </row>
    <row r="350" spans="1:9">
      <c r="A350" s="11"/>
      <c r="B350" s="4"/>
      <c r="C350" s="4"/>
      <c r="D350" s="4"/>
      <c r="E350" s="4"/>
      <c r="F350" s="4"/>
      <c r="G350" s="4"/>
      <c r="H350" s="4"/>
      <c r="I350" s="10"/>
    </row>
    <row r="352" spans="1:9">
      <c r="A352" s="8" t="s">
        <v>246</v>
      </c>
      <c r="B352" s="6" t="s">
        <v>47</v>
      </c>
    </row>
    <row r="353" spans="1:9">
      <c r="B353" s="40">
        <f>(8.88+48.05+8.09+10.1+9.54+28.25+6.72 +10.96+5.74+27.97+13.33+8.39+13.33 +27.97+16.79+19.18+18.65+2.22+14.71 +6.76+1.71+48.31+4.97)+((6.3+6.3)*1.45)</f>
        <v>378.89</v>
      </c>
      <c r="H353">
        <f>B353</f>
        <v>378.89</v>
      </c>
    </row>
    <row r="354" spans="1:9">
      <c r="B354" s="6" t="s">
        <v>50</v>
      </c>
    </row>
    <row r="355" spans="1:9">
      <c r="B355" s="40">
        <f>(26.59+8.68+9.52+21.23+23.41+4.06+7.94+10.04+8.05+18.39+18.21+18.25+8.52+10.75+18.39+18.11+18.58+14.15+6.38+1.89+106.68+13.56+2.15+27.09) +((6.3+6.3)*1.45)</f>
        <v>438.88999999999993</v>
      </c>
      <c r="H355">
        <f>B355</f>
        <v>438.88999999999993</v>
      </c>
    </row>
    <row r="356" spans="1:9">
      <c r="B356" s="6" t="s">
        <v>51</v>
      </c>
    </row>
    <row r="357" spans="1:9">
      <c r="B357" s="41">
        <f>(26.59+11.49+18.4+18.25+18.25+18.54+18.11+11.13+13.95+18.1+18.39+18.25+18.3+8.73+10.75+18.25+14.16+6.38+1.89+104.1+7.65+7.65+2.22) +((6.3+6.3)*1.45)</f>
        <v>427.79999999999995</v>
      </c>
      <c r="H357">
        <f>B357</f>
        <v>427.79999999999995</v>
      </c>
      <c r="I357" s="9">
        <f>SUM(H353:H359)</f>
        <v>1268.0425</v>
      </c>
    </row>
    <row r="359" spans="1:9">
      <c r="B359" s="42">
        <f>(4.85*1.55)+(4.9*3.05)</f>
        <v>22.462499999999999</v>
      </c>
      <c r="H359">
        <f>B359</f>
        <v>22.462499999999999</v>
      </c>
    </row>
    <row r="368" spans="1:9">
      <c r="A368" s="8" t="s">
        <v>90</v>
      </c>
      <c r="B368" s="40" t="s">
        <v>233</v>
      </c>
    </row>
    <row r="369" spans="2:9">
      <c r="B369" s="40">
        <f>((11.87+34.04+11.53+14.02+14.61+21.28 +13.6+15.02+9.74+21.19+18.9+13.16 +18.9+21.19+21.25+22.1+21.91+6+5.25 +64.31+9.9+7.49+28.97)*0.78)</f>
        <v>332.45940000000002</v>
      </c>
      <c r="H369">
        <f>B369</f>
        <v>332.45940000000002</v>
      </c>
    </row>
    <row r="370" spans="2:9">
      <c r="B370" s="40" t="s">
        <v>234</v>
      </c>
    </row>
    <row r="371" spans="2:9">
      <c r="B371" s="40">
        <f>(8.88+48.05+8.09+10.1+9.54+28.25+6.72 +10.96+5.74+27.97+13.33+8.39+13.33 +27.97+16.79+19.18+18.65+2.22+14.71 +6.76+1.71+48.31+4.97)</f>
        <v>360.62</v>
      </c>
      <c r="H371">
        <f t="shared" ref="H371:H383" si="4">B371</f>
        <v>360.62</v>
      </c>
    </row>
    <row r="372" spans="2:9">
      <c r="B372" s="6" t="s">
        <v>50</v>
      </c>
    </row>
    <row r="373" spans="2:9">
      <c r="B373" s="40" t="s">
        <v>233</v>
      </c>
    </row>
    <row r="374" spans="2:9">
      <c r="B374" s="40">
        <f>((20+11.73+12.33+19.35+19.47+8.07 +13.92+12.72+10.41+17.8+17.8+17.8+11.9 +13.2+17.75+17.7+17.87+5.36+96.66 +23.4+5.89)*0.58)</f>
        <v>226.85539999999997</v>
      </c>
      <c r="H374">
        <f t="shared" si="4"/>
        <v>226.85539999999997</v>
      </c>
    </row>
    <row r="375" spans="2:9">
      <c r="B375" s="40" t="s">
        <v>234</v>
      </c>
    </row>
    <row r="376" spans="2:9">
      <c r="B376" s="40">
        <f>(26.59+8.68+9.52+21.23+23.41+4.06+7.94+10.04+8.05+18.39+18.21+18.25+8.52+10.75+18.39+18.11+18.58+14.15+6.38+1.89+106.68+13.56+2.15+27.09)</f>
        <v>420.61999999999995</v>
      </c>
      <c r="H376">
        <f t="shared" si="4"/>
        <v>420.61999999999995</v>
      </c>
    </row>
    <row r="377" spans="2:9">
      <c r="B377" s="6" t="s">
        <v>51</v>
      </c>
    </row>
    <row r="378" spans="2:9">
      <c r="B378" s="40" t="s">
        <v>233</v>
      </c>
    </row>
    <row r="379" spans="2:9">
      <c r="B379" s="40">
        <f>(20+14.92+13.85+17.8+17.8+17.8 +17.7+13.35+16.41+17.7+17.8+17.8 +17.8+11.9+13.2+17.8+5.36+96.66 +13.4+13.4+6)*2.8</f>
        <v>1115.6599999999996</v>
      </c>
      <c r="H379">
        <f t="shared" si="4"/>
        <v>1115.6599999999996</v>
      </c>
    </row>
    <row r="380" spans="2:9">
      <c r="B380" s="40" t="s">
        <v>234</v>
      </c>
    </row>
    <row r="381" spans="2:9">
      <c r="B381" s="40">
        <f>(26.59+11.49+18.4+18.25+18.25+18.54+18.11+11.13+13.95+18.1+18.39+18.25+18.3+8.73+10.75+18.25+14.16+6.38+1.89+104.1+7.65+7.65+2.22)</f>
        <v>409.53</v>
      </c>
      <c r="H381">
        <f t="shared" si="4"/>
        <v>409.53</v>
      </c>
    </row>
    <row r="382" spans="2:9" ht="31.5">
      <c r="B382" s="3" t="s">
        <v>252</v>
      </c>
    </row>
    <row r="383" spans="2:9">
      <c r="B383" s="3">
        <f>((2.5+2.5+1.65)*15.55)</f>
        <v>103.40750000000001</v>
      </c>
      <c r="H383">
        <f t="shared" si="4"/>
        <v>103.40750000000001</v>
      </c>
      <c r="I383" s="9">
        <f>SUM(H369:H383)</f>
        <v>2969.1522999999993</v>
      </c>
    </row>
    <row r="386" spans="1:9">
      <c r="A386" s="1025" t="s">
        <v>256</v>
      </c>
      <c r="B386" s="1025"/>
      <c r="C386" s="1025"/>
      <c r="D386" s="1025"/>
    </row>
    <row r="388" spans="1:9">
      <c r="A388" s="8" t="s">
        <v>93</v>
      </c>
      <c r="B388" s="40">
        <f>(21.3*4.6) +(21.3*4.6) +(21.4*4.6)</f>
        <v>294.39999999999998</v>
      </c>
    </row>
    <row r="389" spans="1:9">
      <c r="B389" t="s">
        <v>261</v>
      </c>
    </row>
    <row r="390" spans="1:9">
      <c r="B390" s="40">
        <f>(0.5*4.15) +((1.52*4.15)*4) +(3.04*3.65)</f>
        <v>38.403000000000006</v>
      </c>
    </row>
    <row r="391" spans="1:9">
      <c r="B391" s="40">
        <f>((0.5*4.15)*3) +((1.52*4.15)*2)</f>
        <v>18.841000000000001</v>
      </c>
    </row>
    <row r="392" spans="1:9">
      <c r="B392" s="40">
        <f>(1.52*4.15)+ (2.2*1.81)</f>
        <v>10.290000000000001</v>
      </c>
      <c r="D392">
        <f>SUM(B390:B392)</f>
        <v>67.534000000000006</v>
      </c>
      <c r="I392" s="9">
        <f>B388-D392</f>
        <v>226.86599999999999</v>
      </c>
    </row>
    <row r="395" spans="1:9">
      <c r="A395" s="8" t="s">
        <v>94</v>
      </c>
      <c r="B395" s="40">
        <f>(21.3*8.85)+(21.3*8.85)+(21.4*8.85)+(((5.5+7)*2)*3)</f>
        <v>641.4</v>
      </c>
    </row>
    <row r="396" spans="1:9">
      <c r="B396" s="40" t="s">
        <v>123</v>
      </c>
    </row>
    <row r="397" spans="1:9">
      <c r="B397" s="40">
        <f>((1.52*7.32)*12) +((0.5*3.66)*2) +(1.52*3.42) +(4.46*4.5)</f>
        <v>162.44519999999997</v>
      </c>
      <c r="I397" s="9">
        <f>B395-B397</f>
        <v>478.95479999999998</v>
      </c>
    </row>
    <row r="400" spans="1:9">
      <c r="A400" s="8" t="s">
        <v>115</v>
      </c>
      <c r="B400" s="40">
        <f>(21.3*4.6) +(21.3*4.6) +(21.4*4.6)</f>
        <v>294.39999999999998</v>
      </c>
      <c r="C400">
        <f>B400</f>
        <v>294.39999999999998</v>
      </c>
    </row>
    <row r="401" spans="2:9">
      <c r="B401" s="40" t="s">
        <v>123</v>
      </c>
    </row>
    <row r="402" spans="2:9">
      <c r="B402" s="40">
        <f>(0.5*4.15) +((1.52*4.15)*4) +(3.04*3.65)</f>
        <v>38.403000000000006</v>
      </c>
    </row>
    <row r="403" spans="2:9">
      <c r="B403" s="40">
        <f>((0.5*4.15)*3) +((1.52*4.15)*2)</f>
        <v>18.841000000000001</v>
      </c>
    </row>
    <row r="404" spans="2:9">
      <c r="B404" s="40">
        <f>(1.52*4.15)+ (2.2*1.81)</f>
        <v>10.290000000000001</v>
      </c>
      <c r="C404">
        <f>SUM(B402:B404)</f>
        <v>67.534000000000006</v>
      </c>
    </row>
    <row r="405" spans="2:9">
      <c r="B405" s="40" t="s">
        <v>149</v>
      </c>
    </row>
    <row r="406" spans="2:9">
      <c r="B406" s="40">
        <f>(4.07*7.5)</f>
        <v>30.525000000000002</v>
      </c>
      <c r="C406">
        <f>B406</f>
        <v>30.525000000000002</v>
      </c>
      <c r="I406" s="9">
        <f>C400+C406-C404</f>
        <v>257.39099999999996</v>
      </c>
    </row>
  </sheetData>
  <mergeCells count="13">
    <mergeCell ref="A279:D279"/>
    <mergeCell ref="A300:D300"/>
    <mergeCell ref="A386:D386"/>
    <mergeCell ref="A1:D1"/>
    <mergeCell ref="A9:D9"/>
    <mergeCell ref="A44:D44"/>
    <mergeCell ref="A77:D77"/>
    <mergeCell ref="A131:D131"/>
    <mergeCell ref="A222:D222"/>
    <mergeCell ref="A247:D247"/>
    <mergeCell ref="A168:D168"/>
    <mergeCell ref="A197:D197"/>
    <mergeCell ref="A206:D20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view="pageBreakPreview" topLeftCell="A178" zoomScaleNormal="90" zoomScaleSheetLayoutView="100" workbookViewId="0">
      <selection activeCell="H174" sqref="H174"/>
    </sheetView>
  </sheetViews>
  <sheetFormatPr defaultRowHeight="15.75"/>
  <cols>
    <col min="1" max="1" width="5.625" customWidth="1"/>
    <col min="2" max="2" width="41.625" customWidth="1"/>
    <col min="3" max="3" width="7.625" customWidth="1"/>
    <col min="4" max="5" width="10.125" customWidth="1"/>
    <col min="6" max="6" width="11.5" customWidth="1"/>
  </cols>
  <sheetData>
    <row r="1" spans="1:6" ht="408.75" customHeight="1">
      <c r="A1" s="1027" t="s">
        <v>1906</v>
      </c>
      <c r="B1" s="1027"/>
      <c r="C1" s="1027"/>
      <c r="D1" s="1027"/>
      <c r="E1" s="1027"/>
      <c r="F1" s="1027"/>
    </row>
    <row r="2" spans="1:6">
      <c r="A2" s="248"/>
      <c r="B2" s="249"/>
      <c r="C2" s="245"/>
      <c r="D2" s="249"/>
      <c r="E2" s="249"/>
      <c r="F2" s="250"/>
    </row>
    <row r="3" spans="1:6">
      <c r="A3" s="248"/>
      <c r="B3" s="1030" t="s">
        <v>886</v>
      </c>
      <c r="C3" s="1030"/>
      <c r="D3" s="1030"/>
      <c r="E3" s="1030"/>
      <c r="F3" s="1030"/>
    </row>
    <row r="4" spans="1:6">
      <c r="A4" s="248"/>
      <c r="B4" s="474"/>
      <c r="C4" s="474"/>
      <c r="D4" s="474"/>
      <c r="E4" s="474"/>
      <c r="F4" s="474"/>
    </row>
    <row r="5" spans="1:6">
      <c r="A5" s="248"/>
      <c r="B5" s="251" t="s">
        <v>887</v>
      </c>
      <c r="C5" s="245"/>
      <c r="D5" s="249"/>
      <c r="E5" s="249"/>
      <c r="F5" s="250"/>
    </row>
    <row r="6" spans="1:6">
      <c r="A6" s="248"/>
      <c r="B6" s="249"/>
      <c r="C6" s="245"/>
      <c r="D6" s="249"/>
      <c r="E6" s="249"/>
      <c r="F6" s="250"/>
    </row>
    <row r="7" spans="1:6">
      <c r="A7" s="252" t="s">
        <v>1564</v>
      </c>
      <c r="B7" s="1029" t="s">
        <v>1389</v>
      </c>
      <c r="C7" s="1029"/>
      <c r="D7" s="1029"/>
      <c r="E7" s="249"/>
      <c r="F7" s="250"/>
    </row>
    <row r="8" spans="1:6" ht="32.25" thickBot="1">
      <c r="A8" s="253" t="s">
        <v>888</v>
      </c>
      <c r="B8" s="253" t="s">
        <v>889</v>
      </c>
      <c r="C8" s="253" t="s">
        <v>890</v>
      </c>
      <c r="D8" s="253" t="s">
        <v>384</v>
      </c>
      <c r="E8" s="254" t="s">
        <v>891</v>
      </c>
      <c r="F8" s="255" t="s">
        <v>892</v>
      </c>
    </row>
    <row r="9" spans="1:6" ht="16.5" thickTop="1">
      <c r="A9" s="256"/>
      <c r="B9" s="257"/>
      <c r="C9" s="258"/>
      <c r="D9" s="259"/>
      <c r="E9" s="260"/>
      <c r="F9" s="261"/>
    </row>
    <row r="10" spans="1:6">
      <c r="A10" s="275" t="s">
        <v>1449</v>
      </c>
      <c r="B10" s="276" t="s">
        <v>953</v>
      </c>
      <c r="C10" s="277"/>
      <c r="D10" s="278"/>
      <c r="E10" s="281"/>
      <c r="F10" s="274"/>
    </row>
    <row r="11" spans="1:6">
      <c r="A11" s="279"/>
      <c r="B11" s="270"/>
      <c r="C11" s="277"/>
      <c r="D11" s="278"/>
      <c r="E11" s="281"/>
      <c r="F11" s="274"/>
    </row>
    <row r="12" spans="1:6" ht="31.5">
      <c r="A12" s="279">
        <v>1</v>
      </c>
      <c r="B12" s="280" t="s">
        <v>954</v>
      </c>
      <c r="C12" s="277"/>
      <c r="D12" s="278"/>
      <c r="E12" s="281"/>
      <c r="F12" s="274"/>
    </row>
    <row r="13" spans="1:6" ht="126">
      <c r="A13" s="279"/>
      <c r="B13" s="270" t="s">
        <v>1781</v>
      </c>
      <c r="C13" s="270"/>
      <c r="D13" s="270"/>
      <c r="E13" s="270"/>
      <c r="F13" s="270"/>
    </row>
    <row r="14" spans="1:6">
      <c r="A14" s="279"/>
      <c r="B14" s="270" t="s">
        <v>955</v>
      </c>
      <c r="C14" s="270"/>
      <c r="D14" s="270"/>
      <c r="E14" s="270"/>
      <c r="F14" s="270"/>
    </row>
    <row r="15" spans="1:6">
      <c r="A15" s="279"/>
      <c r="B15" s="270" t="s">
        <v>1565</v>
      </c>
      <c r="C15" s="277" t="s">
        <v>1566</v>
      </c>
      <c r="D15" s="281">
        <v>25</v>
      </c>
      <c r="E15" s="274"/>
      <c r="F15" s="274"/>
    </row>
    <row r="16" spans="1:6">
      <c r="A16" s="475"/>
      <c r="B16" s="270" t="s">
        <v>1567</v>
      </c>
      <c r="C16" s="277" t="s">
        <v>1566</v>
      </c>
      <c r="D16" s="281">
        <v>5</v>
      </c>
      <c r="E16" s="274"/>
      <c r="F16" s="274"/>
    </row>
    <row r="17" spans="1:6">
      <c r="A17" s="475"/>
      <c r="B17" s="270"/>
      <c r="C17" s="277"/>
      <c r="D17" s="281"/>
      <c r="E17" s="274"/>
      <c r="F17" s="274"/>
    </row>
    <row r="18" spans="1:6" ht="16.5" thickBot="1">
      <c r="A18" s="262"/>
      <c r="B18" s="263" t="s">
        <v>1568</v>
      </c>
      <c r="C18" s="264"/>
      <c r="D18" s="265"/>
      <c r="E18" s="266"/>
      <c r="F18" s="755"/>
    </row>
    <row r="19" spans="1:6" ht="16.5" thickTop="1">
      <c r="A19" s="268"/>
      <c r="B19" s="257"/>
      <c r="C19" s="258"/>
      <c r="D19" s="259"/>
      <c r="E19" s="261"/>
      <c r="F19" s="261"/>
    </row>
    <row r="20" spans="1:6">
      <c r="A20" s="275" t="s">
        <v>1450</v>
      </c>
      <c r="B20" s="270" t="s">
        <v>1386</v>
      </c>
      <c r="C20" s="277"/>
      <c r="D20" s="278"/>
      <c r="E20" s="274"/>
      <c r="F20" s="274"/>
    </row>
    <row r="21" spans="1:6">
      <c r="A21" s="279"/>
      <c r="B21" s="270"/>
      <c r="C21" s="277"/>
      <c r="D21" s="278"/>
      <c r="E21" s="274"/>
      <c r="F21" s="274"/>
    </row>
    <row r="22" spans="1:6">
      <c r="A22" s="279">
        <v>1</v>
      </c>
      <c r="B22" s="270" t="s">
        <v>1569</v>
      </c>
      <c r="C22" s="277"/>
      <c r="D22" s="278"/>
      <c r="E22" s="274"/>
      <c r="F22" s="274"/>
    </row>
    <row r="23" spans="1:6" ht="110.25">
      <c r="A23" s="279"/>
      <c r="B23" s="270" t="s">
        <v>1570</v>
      </c>
      <c r="C23" s="277"/>
      <c r="D23" s="278"/>
      <c r="E23" s="274"/>
      <c r="F23" s="274"/>
    </row>
    <row r="24" spans="1:6" ht="78.75">
      <c r="A24" s="279"/>
      <c r="B24" s="270" t="s">
        <v>956</v>
      </c>
      <c r="C24" s="277"/>
      <c r="D24" s="278"/>
      <c r="E24" s="274"/>
      <c r="F24" s="274"/>
    </row>
    <row r="25" spans="1:6" ht="47.25">
      <c r="A25" s="279"/>
      <c r="B25" s="270" t="s">
        <v>957</v>
      </c>
      <c r="C25" s="277"/>
      <c r="D25" s="281"/>
      <c r="E25" s="274"/>
      <c r="F25" s="274"/>
    </row>
    <row r="26" spans="1:6">
      <c r="A26" s="279"/>
      <c r="B26" s="270" t="s">
        <v>1565</v>
      </c>
      <c r="C26" s="277" t="s">
        <v>1571</v>
      </c>
      <c r="D26" s="281">
        <v>20</v>
      </c>
      <c r="E26" s="274"/>
      <c r="F26" s="274"/>
    </row>
    <row r="27" spans="1:6">
      <c r="A27" s="279"/>
      <c r="B27" s="270" t="s">
        <v>1567</v>
      </c>
      <c r="C27" s="277" t="s">
        <v>1571</v>
      </c>
      <c r="D27" s="281">
        <v>4</v>
      </c>
      <c r="E27" s="274"/>
      <c r="F27" s="274"/>
    </row>
    <row r="28" spans="1:6">
      <c r="A28" s="279"/>
      <c r="B28" s="270"/>
      <c r="C28" s="277"/>
      <c r="D28" s="281"/>
      <c r="E28" s="274"/>
      <c r="F28" s="274"/>
    </row>
    <row r="29" spans="1:6">
      <c r="A29" s="279">
        <v>2</v>
      </c>
      <c r="B29" s="270" t="s">
        <v>1572</v>
      </c>
      <c r="C29" s="277"/>
      <c r="D29" s="281"/>
      <c r="E29" s="274"/>
      <c r="F29" s="274"/>
    </row>
    <row r="30" spans="1:6" ht="78.75">
      <c r="A30" s="279"/>
      <c r="B30" s="270" t="s">
        <v>1573</v>
      </c>
      <c r="C30" s="277"/>
      <c r="D30" s="281"/>
      <c r="E30" s="274"/>
      <c r="F30" s="274"/>
    </row>
    <row r="31" spans="1:6" ht="78.75">
      <c r="A31" s="279"/>
      <c r="B31" s="270" t="s">
        <v>956</v>
      </c>
      <c r="C31" s="277"/>
      <c r="D31" s="281"/>
      <c r="E31" s="274"/>
      <c r="F31" s="274"/>
    </row>
    <row r="32" spans="1:6" ht="47.25">
      <c r="A32" s="279"/>
      <c r="B32" s="270" t="s">
        <v>957</v>
      </c>
      <c r="C32" s="277"/>
      <c r="D32" s="281"/>
      <c r="E32" s="274"/>
      <c r="F32" s="274"/>
    </row>
    <row r="33" spans="1:6">
      <c r="A33" s="279"/>
      <c r="B33" s="270" t="s">
        <v>1565</v>
      </c>
      <c r="C33" s="277" t="s">
        <v>1571</v>
      </c>
      <c r="D33" s="281">
        <v>5</v>
      </c>
      <c r="E33" s="274"/>
      <c r="F33" s="274"/>
    </row>
    <row r="34" spans="1:6">
      <c r="A34" s="279"/>
      <c r="B34" s="270" t="s">
        <v>1567</v>
      </c>
      <c r="C34" s="277" t="s">
        <v>1571</v>
      </c>
      <c r="D34" s="281">
        <v>1</v>
      </c>
      <c r="E34" s="274"/>
      <c r="F34" s="274"/>
    </row>
    <row r="35" spans="1:6">
      <c r="A35" s="279"/>
      <c r="B35" s="270"/>
      <c r="C35" s="277"/>
      <c r="D35" s="281"/>
      <c r="E35" s="274"/>
      <c r="F35" s="274"/>
    </row>
    <row r="36" spans="1:6">
      <c r="A36" s="279">
        <v>3</v>
      </c>
      <c r="B36" s="270" t="s">
        <v>958</v>
      </c>
      <c r="C36" s="277"/>
      <c r="D36" s="281"/>
      <c r="E36" s="274"/>
      <c r="F36" s="274"/>
    </row>
    <row r="37" spans="1:6" ht="94.5">
      <c r="A37" s="279"/>
      <c r="B37" s="270" t="s">
        <v>959</v>
      </c>
      <c r="C37" s="277"/>
      <c r="D37" s="281"/>
      <c r="E37" s="274"/>
      <c r="F37" s="274"/>
    </row>
    <row r="38" spans="1:6" ht="47.25">
      <c r="A38" s="279"/>
      <c r="B38" s="270" t="s">
        <v>960</v>
      </c>
      <c r="C38" s="277"/>
      <c r="D38" s="281"/>
      <c r="E38" s="274"/>
      <c r="F38" s="274"/>
    </row>
    <row r="39" spans="1:6">
      <c r="A39" s="279"/>
      <c r="B39" s="270" t="s">
        <v>1565</v>
      </c>
      <c r="C39" s="277" t="s">
        <v>1571</v>
      </c>
      <c r="D39" s="281">
        <v>2.5</v>
      </c>
      <c r="E39" s="274"/>
      <c r="F39" s="274"/>
    </row>
    <row r="40" spans="1:6">
      <c r="A40" s="279"/>
      <c r="B40" s="270" t="s">
        <v>1567</v>
      </c>
      <c r="C40" s="277" t="s">
        <v>1571</v>
      </c>
      <c r="D40" s="281">
        <v>0.5</v>
      </c>
      <c r="E40" s="274"/>
      <c r="F40" s="274"/>
    </row>
    <row r="41" spans="1:6">
      <c r="A41" s="279"/>
      <c r="B41" s="270"/>
      <c r="C41" s="277"/>
      <c r="D41" s="281"/>
      <c r="E41" s="274"/>
      <c r="F41" s="274"/>
    </row>
    <row r="42" spans="1:6">
      <c r="A42" s="279">
        <v>4</v>
      </c>
      <c r="B42" s="270" t="s">
        <v>961</v>
      </c>
      <c r="C42" s="277"/>
      <c r="D42" s="281"/>
      <c r="E42" s="274"/>
      <c r="F42" s="274"/>
    </row>
    <row r="43" spans="1:6" ht="63">
      <c r="A43" s="279"/>
      <c r="B43" s="270" t="s">
        <v>1574</v>
      </c>
      <c r="C43" s="277"/>
      <c r="D43" s="281"/>
      <c r="E43" s="274"/>
      <c r="F43" s="274"/>
    </row>
    <row r="44" spans="1:6" ht="31.5">
      <c r="A44" s="279"/>
      <c r="B44" s="270" t="s">
        <v>962</v>
      </c>
      <c r="C44" s="277"/>
      <c r="D44" s="281"/>
      <c r="E44" s="274"/>
      <c r="F44" s="274"/>
    </row>
    <row r="45" spans="1:6" ht="47.25">
      <c r="A45" s="279"/>
      <c r="B45" s="270" t="s">
        <v>960</v>
      </c>
      <c r="C45" s="277"/>
      <c r="D45" s="281"/>
      <c r="E45" s="274"/>
      <c r="F45" s="274"/>
    </row>
    <row r="46" spans="1:6">
      <c r="A46" s="279"/>
      <c r="B46" s="270" t="s">
        <v>1565</v>
      </c>
      <c r="C46" s="277" t="s">
        <v>1571</v>
      </c>
      <c r="D46" s="281">
        <v>7.5</v>
      </c>
      <c r="E46" s="274"/>
      <c r="F46" s="274"/>
    </row>
    <row r="47" spans="1:6">
      <c r="A47" s="279"/>
      <c r="B47" s="270" t="s">
        <v>1567</v>
      </c>
      <c r="C47" s="277" t="s">
        <v>1571</v>
      </c>
      <c r="D47" s="281">
        <v>1.5</v>
      </c>
      <c r="E47" s="274"/>
      <c r="F47" s="274"/>
    </row>
    <row r="48" spans="1:6">
      <c r="A48" s="279"/>
      <c r="B48" s="270"/>
      <c r="C48" s="277"/>
      <c r="D48" s="281"/>
      <c r="E48" s="274"/>
      <c r="F48" s="274"/>
    </row>
    <row r="49" spans="1:6">
      <c r="A49" s="279">
        <v>5</v>
      </c>
      <c r="B49" s="270" t="s">
        <v>963</v>
      </c>
      <c r="C49" s="277"/>
      <c r="D49" s="281"/>
      <c r="E49" s="274"/>
      <c r="F49" s="274"/>
    </row>
    <row r="50" spans="1:6" ht="47.25">
      <c r="A50" s="279"/>
      <c r="B50" s="270" t="s">
        <v>964</v>
      </c>
      <c r="C50" s="277"/>
      <c r="D50" s="281"/>
      <c r="E50" s="274"/>
      <c r="F50" s="274"/>
    </row>
    <row r="51" spans="1:6" ht="31.5">
      <c r="A51" s="279"/>
      <c r="B51" s="270" t="s">
        <v>965</v>
      </c>
      <c r="C51" s="277"/>
      <c r="D51" s="281"/>
      <c r="E51" s="274"/>
      <c r="F51" s="274"/>
    </row>
    <row r="52" spans="1:6">
      <c r="A52" s="279"/>
      <c r="B52" s="270" t="s">
        <v>1565</v>
      </c>
      <c r="C52" s="277" t="s">
        <v>1571</v>
      </c>
      <c r="D52" s="281">
        <v>15</v>
      </c>
      <c r="E52" s="274"/>
      <c r="F52" s="274"/>
    </row>
    <row r="53" spans="1:6">
      <c r="A53" s="279"/>
      <c r="B53" s="270" t="s">
        <v>1567</v>
      </c>
      <c r="C53" s="277" t="s">
        <v>1571</v>
      </c>
      <c r="D53" s="281">
        <v>3</v>
      </c>
      <c r="E53" s="274"/>
      <c r="F53" s="274"/>
    </row>
    <row r="54" spans="1:6">
      <c r="A54" s="279"/>
      <c r="B54" s="270"/>
      <c r="C54" s="277"/>
      <c r="D54" s="281"/>
      <c r="E54" s="274"/>
      <c r="F54" s="274"/>
    </row>
    <row r="55" spans="1:6">
      <c r="A55" s="279">
        <v>6</v>
      </c>
      <c r="B55" s="270" t="s">
        <v>1575</v>
      </c>
      <c r="C55" s="277"/>
      <c r="D55" s="301"/>
      <c r="E55" s="274"/>
      <c r="F55" s="274"/>
    </row>
    <row r="56" spans="1:6" ht="47.25">
      <c r="A56" s="279"/>
      <c r="B56" s="270" t="s">
        <v>1576</v>
      </c>
      <c r="C56" s="277"/>
      <c r="D56" s="278"/>
      <c r="E56" s="274"/>
      <c r="F56" s="274"/>
    </row>
    <row r="57" spans="1:6" ht="47.25">
      <c r="A57" s="279"/>
      <c r="B57" s="270" t="s">
        <v>966</v>
      </c>
      <c r="C57" s="277"/>
      <c r="D57" s="278"/>
      <c r="E57" s="274"/>
      <c r="F57" s="274"/>
    </row>
    <row r="58" spans="1:6">
      <c r="A58" s="324"/>
      <c r="B58" s="270" t="s">
        <v>1565</v>
      </c>
      <c r="C58" s="277" t="s">
        <v>1571</v>
      </c>
      <c r="D58" s="281">
        <v>10</v>
      </c>
      <c r="E58" s="274"/>
      <c r="F58" s="274"/>
    </row>
    <row r="59" spans="1:6">
      <c r="A59" s="269"/>
      <c r="B59" s="270" t="s">
        <v>1567</v>
      </c>
      <c r="C59" s="271" t="s">
        <v>1571</v>
      </c>
      <c r="D59" s="272">
        <v>2</v>
      </c>
      <c r="E59" s="273"/>
      <c r="F59" s="274"/>
    </row>
    <row r="60" spans="1:6">
      <c r="A60" s="269"/>
      <c r="B60" s="270"/>
      <c r="C60" s="271"/>
      <c r="D60" s="272"/>
      <c r="E60" s="273"/>
      <c r="F60" s="274"/>
    </row>
    <row r="61" spans="1:6" ht="16.5" thickBot="1">
      <c r="A61" s="262"/>
      <c r="B61" s="270" t="s">
        <v>1577</v>
      </c>
      <c r="C61" s="264"/>
      <c r="D61" s="265"/>
      <c r="E61" s="266"/>
      <c r="F61" s="755"/>
    </row>
    <row r="62" spans="1:6" ht="16.5" thickTop="1">
      <c r="A62" s="268"/>
      <c r="B62" s="270"/>
      <c r="C62" s="258"/>
      <c r="D62" s="259"/>
      <c r="E62" s="261"/>
      <c r="F62" s="261"/>
    </row>
    <row r="63" spans="1:6">
      <c r="A63" s="275" t="s">
        <v>1454</v>
      </c>
      <c r="B63" s="270" t="s">
        <v>452</v>
      </c>
      <c r="C63" s="277"/>
      <c r="D63" s="278"/>
      <c r="E63" s="274"/>
      <c r="F63" s="274"/>
    </row>
    <row r="64" spans="1:6">
      <c r="A64" s="279"/>
      <c r="B64" s="270"/>
      <c r="C64" s="277"/>
      <c r="D64" s="278"/>
      <c r="E64" s="274"/>
      <c r="F64" s="274"/>
    </row>
    <row r="65" spans="1:6">
      <c r="A65" s="279">
        <v>1</v>
      </c>
      <c r="B65" s="270" t="s">
        <v>967</v>
      </c>
      <c r="C65" s="277"/>
      <c r="D65" s="281"/>
      <c r="E65" s="274"/>
      <c r="F65" s="274"/>
    </row>
    <row r="66" spans="1:6" ht="94.5">
      <c r="A66" s="279"/>
      <c r="B66" s="270" t="s">
        <v>1578</v>
      </c>
      <c r="C66" s="277"/>
      <c r="D66" s="281"/>
      <c r="E66" s="274"/>
      <c r="F66" s="274"/>
    </row>
    <row r="67" spans="1:6" ht="47.25">
      <c r="A67" s="279"/>
      <c r="B67" s="282" t="s">
        <v>968</v>
      </c>
      <c r="C67" s="277"/>
      <c r="D67" s="281"/>
      <c r="E67" s="274"/>
      <c r="F67" s="274"/>
    </row>
    <row r="68" spans="1:6">
      <c r="A68" s="279"/>
      <c r="B68" s="282" t="s">
        <v>1565</v>
      </c>
      <c r="C68" s="277" t="s">
        <v>1566</v>
      </c>
      <c r="D68" s="281">
        <v>25</v>
      </c>
      <c r="E68" s="274"/>
      <c r="F68" s="274"/>
    </row>
    <row r="69" spans="1:6">
      <c r="A69" s="269"/>
      <c r="B69" s="282" t="s">
        <v>1567</v>
      </c>
      <c r="C69" s="271" t="s">
        <v>1566</v>
      </c>
      <c r="D69" s="272">
        <v>5</v>
      </c>
      <c r="E69" s="273"/>
      <c r="F69" s="274"/>
    </row>
    <row r="70" spans="1:6">
      <c r="A70" s="269"/>
      <c r="B70" s="282"/>
      <c r="C70" s="271"/>
      <c r="D70" s="272"/>
      <c r="E70" s="273"/>
      <c r="F70" s="274"/>
    </row>
    <row r="71" spans="1:6" ht="16.5" thickBot="1">
      <c r="A71" s="262"/>
      <c r="B71" s="282" t="s">
        <v>1579</v>
      </c>
      <c r="C71" s="264"/>
      <c r="D71" s="265"/>
      <c r="E71" s="266"/>
      <c r="F71" s="755"/>
    </row>
    <row r="72" spans="1:6" ht="16.5" thickTop="1">
      <c r="A72" s="268"/>
      <c r="B72" s="257"/>
      <c r="C72" s="258"/>
      <c r="D72" s="259"/>
      <c r="E72" s="261"/>
      <c r="F72" s="261"/>
    </row>
    <row r="73" spans="1:6">
      <c r="A73" s="275" t="s">
        <v>1580</v>
      </c>
      <c r="B73" s="282" t="s">
        <v>969</v>
      </c>
      <c r="C73" s="277"/>
      <c r="D73" s="283"/>
      <c r="E73" s="274"/>
      <c r="F73" s="274"/>
    </row>
    <row r="74" spans="1:6">
      <c r="A74" s="279"/>
      <c r="B74" s="282"/>
      <c r="C74" s="277"/>
      <c r="D74" s="278"/>
      <c r="E74" s="274"/>
      <c r="F74" s="274"/>
    </row>
    <row r="75" spans="1:6" ht="78.75">
      <c r="A75" s="279">
        <v>1</v>
      </c>
      <c r="B75" s="282" t="s">
        <v>1581</v>
      </c>
      <c r="C75" s="277"/>
      <c r="D75" s="278"/>
      <c r="E75" s="274"/>
      <c r="F75" s="274"/>
    </row>
    <row r="76" spans="1:6" ht="31.5">
      <c r="A76" s="275" t="s">
        <v>1582</v>
      </c>
      <c r="B76" s="282" t="s">
        <v>970</v>
      </c>
      <c r="C76" s="277"/>
      <c r="D76" s="283"/>
      <c r="E76" s="274"/>
      <c r="F76" s="274"/>
    </row>
    <row r="77" spans="1:6">
      <c r="A77" s="475"/>
      <c r="B77" s="282" t="s">
        <v>971</v>
      </c>
      <c r="C77" s="277" t="s">
        <v>8</v>
      </c>
      <c r="D77" s="476">
        <v>1</v>
      </c>
      <c r="E77" s="274"/>
      <c r="F77" s="274"/>
    </row>
    <row r="78" spans="1:6">
      <c r="A78" s="475"/>
      <c r="B78" s="282" t="s">
        <v>1583</v>
      </c>
      <c r="C78" s="277" t="s">
        <v>8</v>
      </c>
      <c r="D78" s="476">
        <v>2</v>
      </c>
      <c r="E78" s="274"/>
      <c r="F78" s="274"/>
    </row>
    <row r="79" spans="1:6">
      <c r="A79" s="475"/>
      <c r="B79" s="282" t="s">
        <v>1584</v>
      </c>
      <c r="C79" s="277" t="s">
        <v>8</v>
      </c>
      <c r="D79" s="476">
        <v>3</v>
      </c>
      <c r="E79" s="274"/>
      <c r="F79" s="274"/>
    </row>
    <row r="80" spans="1:6">
      <c r="A80" s="475"/>
      <c r="B80" s="282" t="s">
        <v>972</v>
      </c>
      <c r="C80" s="277" t="s">
        <v>8</v>
      </c>
      <c r="D80" s="476">
        <v>1</v>
      </c>
      <c r="E80" s="274"/>
      <c r="F80" s="274"/>
    </row>
    <row r="81" spans="1:6">
      <c r="A81" s="475"/>
      <c r="B81" s="282" t="s">
        <v>973</v>
      </c>
      <c r="C81" s="277" t="s">
        <v>8</v>
      </c>
      <c r="D81" s="476">
        <v>1</v>
      </c>
      <c r="E81" s="274"/>
      <c r="F81" s="274"/>
    </row>
    <row r="82" spans="1:6">
      <c r="A82" s="279"/>
      <c r="B82" s="282" t="s">
        <v>974</v>
      </c>
      <c r="C82" s="277" t="s">
        <v>8</v>
      </c>
      <c r="D82" s="476">
        <v>1</v>
      </c>
      <c r="E82" s="274"/>
      <c r="F82" s="274"/>
    </row>
    <row r="83" spans="1:6">
      <c r="A83" s="279"/>
      <c r="B83" s="282" t="s">
        <v>975</v>
      </c>
      <c r="C83" s="277" t="s">
        <v>8</v>
      </c>
      <c r="D83" s="477">
        <v>1</v>
      </c>
      <c r="E83" s="274"/>
      <c r="F83" s="274"/>
    </row>
    <row r="84" spans="1:6">
      <c r="A84" s="275"/>
      <c r="B84" s="282"/>
      <c r="C84" s="277"/>
      <c r="D84" s="478"/>
      <c r="E84" s="274"/>
      <c r="F84" s="274"/>
    </row>
    <row r="85" spans="1:6" ht="47.25">
      <c r="A85" s="275" t="s">
        <v>1585</v>
      </c>
      <c r="B85" s="282" t="s">
        <v>976</v>
      </c>
      <c r="C85" s="277"/>
      <c r="D85" s="478"/>
      <c r="E85" s="274"/>
      <c r="F85" s="274"/>
    </row>
    <row r="86" spans="1:6" ht="31.5">
      <c r="A86" s="269"/>
      <c r="B86" s="282" t="s">
        <v>977</v>
      </c>
      <c r="C86" s="277" t="s">
        <v>8</v>
      </c>
      <c r="D86" s="274">
        <v>1</v>
      </c>
      <c r="E86" s="274"/>
      <c r="F86" s="274"/>
    </row>
    <row r="87" spans="1:6">
      <c r="A87" s="269"/>
      <c r="B87" s="282" t="s">
        <v>978</v>
      </c>
      <c r="C87" s="277" t="s">
        <v>8</v>
      </c>
      <c r="D87" s="476">
        <v>1</v>
      </c>
      <c r="E87" s="274"/>
      <c r="F87" s="274"/>
    </row>
    <row r="88" spans="1:6">
      <c r="A88" s="269"/>
      <c r="B88" s="282" t="s">
        <v>979</v>
      </c>
      <c r="C88" s="277" t="s">
        <v>8</v>
      </c>
      <c r="D88" s="476">
        <v>1</v>
      </c>
      <c r="E88" s="274"/>
      <c r="F88" s="274"/>
    </row>
    <row r="89" spans="1:6">
      <c r="A89" s="269"/>
      <c r="B89" s="282" t="s">
        <v>980</v>
      </c>
      <c r="C89" s="277" t="s">
        <v>8</v>
      </c>
      <c r="D89" s="476">
        <v>2</v>
      </c>
      <c r="E89" s="274"/>
      <c r="F89" s="274"/>
    </row>
    <row r="90" spans="1:6">
      <c r="A90" s="269"/>
      <c r="B90" s="282" t="s">
        <v>981</v>
      </c>
      <c r="C90" s="277" t="s">
        <v>8</v>
      </c>
      <c r="D90" s="476">
        <v>1</v>
      </c>
      <c r="E90" s="274"/>
      <c r="F90" s="274"/>
    </row>
    <row r="91" spans="1:6" ht="31.5">
      <c r="A91" s="269"/>
      <c r="B91" s="282" t="s">
        <v>1586</v>
      </c>
      <c r="C91" s="277" t="s">
        <v>8</v>
      </c>
      <c r="D91" s="476">
        <v>1</v>
      </c>
      <c r="E91" s="274"/>
      <c r="F91" s="274"/>
    </row>
    <row r="92" spans="1:6">
      <c r="A92" s="269"/>
      <c r="B92" s="282" t="s">
        <v>982</v>
      </c>
      <c r="C92" s="277" t="s">
        <v>8</v>
      </c>
      <c r="D92" s="476">
        <v>1</v>
      </c>
      <c r="E92" s="274"/>
      <c r="F92" s="274"/>
    </row>
    <row r="93" spans="1:6">
      <c r="A93" s="475"/>
      <c r="B93" s="282" t="s">
        <v>983</v>
      </c>
      <c r="C93" s="277" t="s">
        <v>8</v>
      </c>
      <c r="D93" s="477">
        <v>1</v>
      </c>
      <c r="E93" s="274"/>
      <c r="F93" s="274"/>
    </row>
    <row r="94" spans="1:6">
      <c r="A94" s="475"/>
      <c r="B94" s="282" t="s">
        <v>984</v>
      </c>
      <c r="C94" s="277" t="s">
        <v>8</v>
      </c>
      <c r="D94" s="476">
        <v>2</v>
      </c>
      <c r="E94" s="274"/>
      <c r="F94" s="274"/>
    </row>
    <row r="95" spans="1:6">
      <c r="A95" s="479"/>
      <c r="B95" s="282" t="s">
        <v>985</v>
      </c>
      <c r="C95" s="277" t="s">
        <v>8</v>
      </c>
      <c r="D95" s="476">
        <v>35</v>
      </c>
      <c r="E95" s="274"/>
      <c r="F95" s="274"/>
    </row>
    <row r="96" spans="1:6">
      <c r="A96" s="479"/>
      <c r="B96" s="282"/>
      <c r="C96" s="277"/>
      <c r="D96" s="478"/>
      <c r="E96" s="274"/>
      <c r="F96" s="274"/>
    </row>
    <row r="97" spans="1:6">
      <c r="A97" s="275" t="s">
        <v>1587</v>
      </c>
      <c r="B97" s="282" t="s">
        <v>986</v>
      </c>
      <c r="C97" s="277"/>
      <c r="D97" s="478"/>
      <c r="E97" s="274"/>
      <c r="F97" s="274"/>
    </row>
    <row r="98" spans="1:6" ht="31.5">
      <c r="A98" s="479"/>
      <c r="B98" s="282" t="s">
        <v>1588</v>
      </c>
      <c r="C98" s="277" t="s">
        <v>1566</v>
      </c>
      <c r="D98" s="281">
        <v>25</v>
      </c>
      <c r="E98" s="274"/>
      <c r="F98" s="274"/>
    </row>
    <row r="99" spans="1:6" ht="31.5">
      <c r="A99" s="479"/>
      <c r="B99" s="282" t="s">
        <v>1589</v>
      </c>
      <c r="C99" s="277" t="s">
        <v>1566</v>
      </c>
      <c r="D99" s="281">
        <v>5</v>
      </c>
      <c r="E99" s="274"/>
      <c r="F99" s="274"/>
    </row>
    <row r="100" spans="1:6" ht="31.5">
      <c r="A100" s="479"/>
      <c r="B100" s="282" t="s">
        <v>1590</v>
      </c>
      <c r="C100" s="277" t="s">
        <v>1566</v>
      </c>
      <c r="D100" s="281">
        <v>5</v>
      </c>
      <c r="E100" s="274"/>
      <c r="F100" s="274"/>
    </row>
    <row r="101" spans="1:6" ht="31.5">
      <c r="A101" s="475"/>
      <c r="B101" s="282" t="s">
        <v>987</v>
      </c>
      <c r="C101" s="277" t="s">
        <v>1566</v>
      </c>
      <c r="D101" s="281">
        <v>2</v>
      </c>
      <c r="E101" s="274"/>
      <c r="F101" s="274"/>
    </row>
    <row r="102" spans="1:6" ht="31.5">
      <c r="A102" s="475"/>
      <c r="B102" s="282" t="s">
        <v>988</v>
      </c>
      <c r="C102" s="277" t="s">
        <v>1566</v>
      </c>
      <c r="D102" s="281">
        <v>2</v>
      </c>
      <c r="E102" s="274"/>
      <c r="F102" s="274"/>
    </row>
    <row r="103" spans="1:6">
      <c r="A103" s="475"/>
      <c r="B103" s="282"/>
      <c r="C103" s="277"/>
      <c r="D103" s="281"/>
      <c r="E103" s="274"/>
      <c r="F103" s="274"/>
    </row>
    <row r="104" spans="1:6">
      <c r="A104" s="275" t="s">
        <v>1591</v>
      </c>
      <c r="B104" s="282" t="s">
        <v>989</v>
      </c>
      <c r="C104" s="277"/>
      <c r="D104" s="278"/>
      <c r="E104" s="274"/>
      <c r="F104" s="274"/>
    </row>
    <row r="105" spans="1:6" ht="31.5">
      <c r="A105" s="475"/>
      <c r="B105" s="282" t="s">
        <v>990</v>
      </c>
      <c r="C105" s="277" t="s">
        <v>8</v>
      </c>
      <c r="D105" s="281">
        <v>5</v>
      </c>
      <c r="E105" s="274"/>
      <c r="F105" s="274"/>
    </row>
    <row r="106" spans="1:6" ht="31.5">
      <c r="A106" s="475"/>
      <c r="B106" s="282" t="s">
        <v>991</v>
      </c>
      <c r="C106" s="277" t="s">
        <v>8</v>
      </c>
      <c r="D106" s="281">
        <v>1</v>
      </c>
      <c r="E106" s="274"/>
      <c r="F106" s="274"/>
    </row>
    <row r="107" spans="1:6">
      <c r="A107" s="475"/>
      <c r="B107" s="282"/>
      <c r="C107" s="277"/>
      <c r="D107" s="281"/>
      <c r="E107" s="274"/>
      <c r="F107" s="274"/>
    </row>
    <row r="108" spans="1:6">
      <c r="A108" s="284" t="s">
        <v>283</v>
      </c>
      <c r="B108" s="282" t="s">
        <v>992</v>
      </c>
      <c r="C108" s="277"/>
      <c r="D108" s="286"/>
      <c r="E108" s="286"/>
      <c r="F108" s="286"/>
    </row>
    <row r="109" spans="1:6">
      <c r="A109" s="284"/>
      <c r="B109" s="282" t="s">
        <v>993</v>
      </c>
      <c r="C109" s="277" t="s">
        <v>8</v>
      </c>
      <c r="D109" s="286">
        <v>1</v>
      </c>
      <c r="E109" s="286"/>
      <c r="F109" s="286"/>
    </row>
    <row r="110" spans="1:6">
      <c r="A110" s="284"/>
      <c r="B110" s="282"/>
      <c r="C110" s="277"/>
      <c r="D110" s="286"/>
      <c r="E110" s="286"/>
      <c r="F110" s="286"/>
    </row>
    <row r="111" spans="1:6" ht="16.5" thickBot="1">
      <c r="A111" s="287"/>
      <c r="B111" s="282" t="s">
        <v>1592</v>
      </c>
      <c r="C111" s="264"/>
      <c r="D111" s="265"/>
      <c r="E111" s="266"/>
      <c r="F111" s="755"/>
    </row>
    <row r="112" spans="1:6" ht="16.5" thickTop="1">
      <c r="A112" s="249"/>
      <c r="B112" s="282"/>
      <c r="C112" s="289"/>
      <c r="D112" s="290"/>
      <c r="E112" s="291"/>
      <c r="F112" s="291"/>
    </row>
    <row r="113" spans="1:6">
      <c r="A113" s="275" t="s">
        <v>1593</v>
      </c>
      <c r="B113" s="282" t="s">
        <v>994</v>
      </c>
      <c r="C113" s="277"/>
      <c r="D113" s="278"/>
      <c r="E113" s="274"/>
      <c r="F113" s="274"/>
    </row>
    <row r="114" spans="1:6">
      <c r="A114" s="275"/>
      <c r="B114" s="282"/>
      <c r="C114" s="277"/>
      <c r="D114" s="278"/>
      <c r="E114" s="274"/>
      <c r="F114" s="274"/>
    </row>
    <row r="115" spans="1:6">
      <c r="A115" s="284" t="s">
        <v>0</v>
      </c>
      <c r="B115" s="282" t="s">
        <v>995</v>
      </c>
      <c r="C115" s="277"/>
      <c r="D115" s="278"/>
      <c r="E115" s="274"/>
      <c r="F115" s="274"/>
    </row>
    <row r="116" spans="1:6" ht="94.5">
      <c r="A116" s="292"/>
      <c r="B116" s="282" t="s">
        <v>996</v>
      </c>
      <c r="C116" s="293"/>
      <c r="D116" s="294"/>
      <c r="E116" s="294"/>
      <c r="F116" s="294"/>
    </row>
    <row r="117" spans="1:6">
      <c r="A117" s="284"/>
      <c r="B117" s="282" t="s">
        <v>997</v>
      </c>
      <c r="C117" s="293" t="s">
        <v>284</v>
      </c>
      <c r="D117" s="294">
        <v>1</v>
      </c>
      <c r="E117" s="294"/>
      <c r="F117" s="294"/>
    </row>
    <row r="118" spans="1:6">
      <c r="A118" s="279"/>
      <c r="B118" s="282"/>
      <c r="C118" s="277"/>
      <c r="D118" s="278"/>
      <c r="E118" s="274"/>
      <c r="F118" s="274"/>
    </row>
    <row r="119" spans="1:6">
      <c r="A119" s="279">
        <v>2</v>
      </c>
      <c r="B119" s="282" t="s">
        <v>998</v>
      </c>
      <c r="C119" s="277"/>
      <c r="D119" s="278"/>
      <c r="E119" s="261"/>
      <c r="F119" s="261"/>
    </row>
    <row r="120" spans="1:6" ht="110.25">
      <c r="A120" s="279"/>
      <c r="B120" s="282" t="s">
        <v>1594</v>
      </c>
      <c r="C120" s="277"/>
      <c r="D120" s="278"/>
      <c r="E120" s="261"/>
      <c r="F120" s="261"/>
    </row>
    <row r="121" spans="1:6" ht="31.5">
      <c r="A121" s="279"/>
      <c r="B121" s="282" t="s">
        <v>999</v>
      </c>
      <c r="C121" s="277" t="s">
        <v>8</v>
      </c>
      <c r="D121" s="281">
        <v>1</v>
      </c>
      <c r="E121" s="274"/>
      <c r="F121" s="274"/>
    </row>
    <row r="122" spans="1:6">
      <c r="A122" s="279"/>
      <c r="B122" s="282"/>
      <c r="C122" s="296"/>
      <c r="D122" s="283"/>
      <c r="E122" s="274"/>
      <c r="F122" s="274"/>
    </row>
    <row r="123" spans="1:6">
      <c r="A123" s="279">
        <v>3</v>
      </c>
      <c r="B123" s="282" t="s">
        <v>1595</v>
      </c>
      <c r="C123" s="296"/>
      <c r="D123" s="283"/>
      <c r="E123" s="274"/>
      <c r="F123" s="274"/>
    </row>
    <row r="124" spans="1:6" ht="47.25">
      <c r="A124" s="279"/>
      <c r="B124" s="282" t="s">
        <v>1000</v>
      </c>
      <c r="C124" s="296"/>
      <c r="D124" s="283"/>
      <c r="E124" s="274"/>
      <c r="F124" s="274"/>
    </row>
    <row r="125" spans="1:6" ht="31.5">
      <c r="A125" s="279"/>
      <c r="B125" s="282" t="s">
        <v>1596</v>
      </c>
      <c r="C125" s="296" t="s">
        <v>8</v>
      </c>
      <c r="D125" s="281">
        <v>1</v>
      </c>
      <c r="E125" s="274"/>
      <c r="F125" s="274"/>
    </row>
    <row r="126" spans="1:6">
      <c r="A126" s="269"/>
      <c r="B126" s="282" t="s">
        <v>1001</v>
      </c>
      <c r="C126" s="296" t="s">
        <v>8</v>
      </c>
      <c r="D126" s="281">
        <v>1</v>
      </c>
      <c r="E126" s="274"/>
      <c r="F126" s="274"/>
    </row>
    <row r="127" spans="1:6">
      <c r="A127" s="269"/>
      <c r="B127" s="282"/>
      <c r="C127" s="296"/>
      <c r="D127" s="283"/>
      <c r="E127" s="274"/>
      <c r="F127" s="274"/>
    </row>
    <row r="128" spans="1:6" ht="16.5" thickBot="1">
      <c r="A128" s="297"/>
      <c r="B128" s="282" t="s">
        <v>1597</v>
      </c>
      <c r="C128" s="264"/>
      <c r="D128" s="265"/>
      <c r="E128" s="266"/>
      <c r="F128" s="755"/>
    </row>
    <row r="129" spans="1:6" ht="16.5" thickTop="1">
      <c r="A129" s="249"/>
      <c r="B129" s="282"/>
      <c r="C129" s="289"/>
      <c r="D129" s="299"/>
      <c r="E129" s="291"/>
      <c r="F129" s="300"/>
    </row>
    <row r="130" spans="1:6">
      <c r="A130" s="249"/>
      <c r="B130" s="282"/>
      <c r="C130" s="289"/>
      <c r="D130" s="299"/>
      <c r="E130" s="291"/>
      <c r="F130" s="300"/>
    </row>
    <row r="131" spans="1:6">
      <c r="A131" s="275" t="s">
        <v>1598</v>
      </c>
      <c r="B131" s="282" t="s">
        <v>1002</v>
      </c>
      <c r="C131" s="277"/>
      <c r="D131" s="278"/>
      <c r="E131" s="274"/>
      <c r="F131" s="274"/>
    </row>
    <row r="132" spans="1:6">
      <c r="A132" s="279"/>
      <c r="B132" s="282"/>
      <c r="C132" s="277"/>
      <c r="D132" s="278"/>
      <c r="E132" s="274"/>
      <c r="F132" s="274"/>
    </row>
    <row r="133" spans="1:6">
      <c r="A133" s="279">
        <v>1</v>
      </c>
      <c r="B133" s="282" t="s">
        <v>1003</v>
      </c>
      <c r="C133" s="277"/>
      <c r="D133" s="281"/>
      <c r="E133" s="274"/>
      <c r="F133" s="274"/>
    </row>
    <row r="134" spans="1:6" ht="63">
      <c r="A134" s="279"/>
      <c r="B134" s="282" t="s">
        <v>1004</v>
      </c>
      <c r="C134" s="277"/>
      <c r="D134" s="281"/>
      <c r="E134" s="274"/>
      <c r="F134" s="274"/>
    </row>
    <row r="135" spans="1:6" ht="31.5">
      <c r="A135" s="279"/>
      <c r="B135" s="282" t="s">
        <v>1005</v>
      </c>
      <c r="C135" s="277"/>
      <c r="D135" s="281"/>
      <c r="E135" s="274"/>
      <c r="F135" s="274"/>
    </row>
    <row r="136" spans="1:6">
      <c r="A136" s="279"/>
      <c r="B136" s="282" t="s">
        <v>1599</v>
      </c>
      <c r="C136" s="277" t="s">
        <v>1566</v>
      </c>
      <c r="D136" s="281">
        <v>5</v>
      </c>
      <c r="E136" s="274"/>
      <c r="F136" s="274"/>
    </row>
    <row r="137" spans="1:6">
      <c r="A137" s="279"/>
      <c r="B137" s="282" t="s">
        <v>1600</v>
      </c>
      <c r="C137" s="277" t="s">
        <v>1566</v>
      </c>
      <c r="D137" s="281">
        <v>25</v>
      </c>
      <c r="E137" s="274"/>
      <c r="F137" s="274"/>
    </row>
    <row r="138" spans="1:6">
      <c r="A138" s="249"/>
      <c r="B138" s="282"/>
      <c r="C138" s="277"/>
      <c r="D138" s="301"/>
      <c r="E138" s="274"/>
      <c r="F138" s="274"/>
    </row>
    <row r="139" spans="1:6" ht="31.5">
      <c r="A139" s="279">
        <v>2</v>
      </c>
      <c r="B139" s="282" t="s">
        <v>1601</v>
      </c>
      <c r="C139" s="277"/>
      <c r="D139" s="281"/>
      <c r="E139" s="274"/>
      <c r="F139" s="274"/>
    </row>
    <row r="140" spans="1:6" ht="78.75">
      <c r="A140" s="279"/>
      <c r="B140" s="282" t="s">
        <v>1006</v>
      </c>
      <c r="C140" s="277"/>
      <c r="D140" s="281"/>
      <c r="E140" s="274"/>
      <c r="F140" s="274"/>
    </row>
    <row r="141" spans="1:6" ht="31.5">
      <c r="A141" s="279"/>
      <c r="B141" s="282" t="s">
        <v>1005</v>
      </c>
      <c r="C141" s="277"/>
      <c r="D141" s="281"/>
      <c r="E141" s="274"/>
      <c r="F141" s="274"/>
    </row>
    <row r="142" spans="1:6">
      <c r="A142" s="279"/>
      <c r="B142" s="282" t="s">
        <v>1599</v>
      </c>
      <c r="C142" s="277" t="s">
        <v>1566</v>
      </c>
      <c r="D142" s="281">
        <v>5</v>
      </c>
      <c r="E142" s="274"/>
      <c r="F142" s="274"/>
    </row>
    <row r="143" spans="1:6">
      <c r="A143" s="279"/>
      <c r="B143" s="282" t="s">
        <v>1600</v>
      </c>
      <c r="C143" s="277" t="s">
        <v>1566</v>
      </c>
      <c r="D143" s="281">
        <v>25</v>
      </c>
      <c r="E143" s="274"/>
      <c r="F143" s="274"/>
    </row>
    <row r="144" spans="1:6">
      <c r="A144" s="249"/>
      <c r="B144" s="282"/>
      <c r="C144" s="277"/>
      <c r="D144" s="281"/>
      <c r="E144" s="274"/>
      <c r="F144" s="274"/>
    </row>
    <row r="145" spans="1:6">
      <c r="A145" s="279">
        <v>3</v>
      </c>
      <c r="B145" s="282" t="s">
        <v>1007</v>
      </c>
      <c r="C145" s="277"/>
      <c r="D145" s="302"/>
      <c r="E145" s="274"/>
      <c r="F145" s="274"/>
    </row>
    <row r="146" spans="1:6" ht="110.25">
      <c r="A146" s="279"/>
      <c r="B146" s="282" t="s">
        <v>1008</v>
      </c>
      <c r="C146" s="277"/>
      <c r="D146" s="302"/>
      <c r="E146" s="274"/>
      <c r="F146" s="274"/>
    </row>
    <row r="147" spans="1:6">
      <c r="A147" s="279"/>
      <c r="B147" s="282" t="s">
        <v>1009</v>
      </c>
      <c r="C147" s="277" t="s">
        <v>8</v>
      </c>
      <c r="D147" s="281">
        <v>1</v>
      </c>
      <c r="E147" s="274"/>
      <c r="F147" s="274"/>
    </row>
    <row r="148" spans="1:6">
      <c r="A148" s="279"/>
      <c r="B148" s="282"/>
      <c r="C148" s="277"/>
      <c r="D148" s="281"/>
      <c r="E148" s="274"/>
      <c r="F148" s="274"/>
    </row>
    <row r="149" spans="1:6">
      <c r="A149" s="279">
        <v>4</v>
      </c>
      <c r="B149" s="282" t="s">
        <v>1782</v>
      </c>
      <c r="C149" s="277"/>
      <c r="D149" s="281"/>
      <c r="E149" s="274"/>
      <c r="F149" s="274"/>
    </row>
    <row r="150" spans="1:6" ht="78.75" customHeight="1">
      <c r="A150" s="279"/>
      <c r="B150" s="282" t="s">
        <v>1783</v>
      </c>
      <c r="C150" s="277"/>
      <c r="D150" s="281"/>
      <c r="E150" s="274"/>
      <c r="F150" s="274"/>
    </row>
    <row r="151" spans="1:6" ht="31.5">
      <c r="A151" s="279"/>
      <c r="B151" s="282" t="s">
        <v>1010</v>
      </c>
      <c r="C151" s="277"/>
      <c r="D151" s="281"/>
      <c r="E151" s="274"/>
      <c r="F151" s="274"/>
    </row>
    <row r="152" spans="1:6">
      <c r="A152" s="279"/>
      <c r="B152" s="282" t="s">
        <v>1784</v>
      </c>
      <c r="C152" s="277" t="s">
        <v>393</v>
      </c>
      <c r="D152" s="281">
        <v>30</v>
      </c>
      <c r="E152" s="274"/>
      <c r="F152" s="274"/>
    </row>
    <row r="153" spans="1:6">
      <c r="A153" s="269"/>
      <c r="B153" s="282"/>
      <c r="C153" s="271"/>
      <c r="D153" s="272"/>
      <c r="E153" s="273"/>
      <c r="F153" s="273"/>
    </row>
    <row r="154" spans="1:6" ht="16.5" thickBot="1">
      <c r="A154" s="303"/>
      <c r="B154" s="282" t="s">
        <v>1602</v>
      </c>
      <c r="C154" s="264"/>
      <c r="D154" s="265"/>
      <c r="E154" s="304"/>
      <c r="F154" s="755"/>
    </row>
    <row r="155" spans="1:6" ht="16.5" thickTop="1">
      <c r="A155" s="305"/>
      <c r="B155" s="298"/>
      <c r="C155" s="289"/>
      <c r="D155" s="299"/>
      <c r="E155" s="306"/>
      <c r="F155" s="300"/>
    </row>
    <row r="156" spans="1:6">
      <c r="A156" s="305"/>
      <c r="B156" s="298"/>
      <c r="C156" s="289"/>
      <c r="D156" s="299"/>
      <c r="E156" s="306"/>
      <c r="F156" s="300"/>
    </row>
    <row r="157" spans="1:6">
      <c r="A157" s="305"/>
      <c r="B157" s="298"/>
      <c r="C157" s="289"/>
      <c r="D157" s="299"/>
      <c r="E157" s="306"/>
      <c r="F157" s="300"/>
    </row>
    <row r="158" spans="1:6">
      <c r="A158" s="305"/>
      <c r="B158" s="298"/>
      <c r="C158" s="289"/>
      <c r="D158" s="299"/>
      <c r="E158" s="306"/>
      <c r="F158" s="300"/>
    </row>
    <row r="159" spans="1:6">
      <c r="A159" s="305"/>
      <c r="B159" s="298"/>
      <c r="C159" s="289"/>
      <c r="D159" s="299"/>
      <c r="E159" s="306"/>
      <c r="F159" s="300"/>
    </row>
    <row r="160" spans="1:6">
      <c r="A160" s="245"/>
      <c r="B160" s="298"/>
      <c r="C160" s="289"/>
      <c r="D160" s="299"/>
      <c r="E160" s="306"/>
      <c r="F160" s="300"/>
    </row>
    <row r="161" spans="1:6">
      <c r="A161" s="245"/>
      <c r="B161" s="307" t="s">
        <v>951</v>
      </c>
      <c r="C161" s="308"/>
      <c r="D161" s="309"/>
      <c r="E161" s="310"/>
      <c r="F161" s="250"/>
    </row>
    <row r="162" spans="1:6">
      <c r="A162" s="1028"/>
      <c r="B162" s="311"/>
      <c r="C162" s="311"/>
      <c r="D162" s="309"/>
      <c r="E162" s="310"/>
      <c r="F162" s="250"/>
    </row>
    <row r="163" spans="1:6">
      <c r="A163" s="1028"/>
      <c r="B163" s="312"/>
      <c r="C163" s="313"/>
      <c r="D163" s="309"/>
      <c r="E163" s="310"/>
      <c r="F163" s="250"/>
    </row>
    <row r="164" spans="1:6">
      <c r="A164" s="314" t="s">
        <v>1564</v>
      </c>
      <c r="B164" s="1029" t="s">
        <v>1389</v>
      </c>
      <c r="C164" s="1029"/>
      <c r="D164" s="1029"/>
      <c r="E164" s="471"/>
      <c r="F164" s="250"/>
    </row>
    <row r="165" spans="1:6">
      <c r="A165" s="245"/>
      <c r="B165" s="471"/>
      <c r="C165" s="471"/>
      <c r="D165" s="471"/>
      <c r="E165" s="471"/>
      <c r="F165" s="250"/>
    </row>
    <row r="166" spans="1:6">
      <c r="A166" s="245"/>
      <c r="B166" s="315"/>
      <c r="C166" s="313"/>
      <c r="D166" s="309"/>
      <c r="E166" s="310"/>
      <c r="F166" s="250"/>
    </row>
    <row r="167" spans="1:6">
      <c r="A167" s="245"/>
      <c r="B167" s="282" t="s">
        <v>1603</v>
      </c>
      <c r="C167" s="277"/>
      <c r="D167" s="278"/>
      <c r="E167" s="281"/>
      <c r="F167" s="316"/>
    </row>
    <row r="168" spans="1:6">
      <c r="A168" s="245"/>
      <c r="B168" s="282" t="s">
        <v>1604</v>
      </c>
      <c r="C168" s="277"/>
      <c r="D168" s="278"/>
      <c r="E168" s="281"/>
      <c r="F168" s="316"/>
    </row>
    <row r="169" spans="1:6">
      <c r="A169" s="245"/>
      <c r="B169" s="282" t="s">
        <v>1605</v>
      </c>
      <c r="C169" s="277"/>
      <c r="D169" s="278"/>
      <c r="E169" s="281"/>
      <c r="F169" s="316"/>
    </row>
    <row r="170" spans="1:6">
      <c r="A170" s="245"/>
      <c r="B170" s="282" t="s">
        <v>1606</v>
      </c>
      <c r="C170" s="277"/>
      <c r="D170" s="278"/>
      <c r="E170" s="281"/>
      <c r="F170" s="316"/>
    </row>
    <row r="171" spans="1:6">
      <c r="A171" s="245"/>
      <c r="B171" s="282" t="s">
        <v>1607</v>
      </c>
      <c r="C171" s="277"/>
      <c r="D171" s="278"/>
      <c r="E171" s="281"/>
      <c r="F171" s="316"/>
    </row>
    <row r="172" spans="1:6">
      <c r="A172" s="317"/>
      <c r="B172" s="282" t="s">
        <v>1608</v>
      </c>
      <c r="C172" s="277"/>
      <c r="D172" s="278"/>
      <c r="E172" s="281"/>
      <c r="F172" s="316"/>
    </row>
    <row r="173" spans="1:6" ht="16.5" thickBot="1">
      <c r="A173" s="245"/>
      <c r="B173" s="282" t="s">
        <v>1609</v>
      </c>
      <c r="C173" s="318"/>
      <c r="D173" s="319"/>
      <c r="E173" s="320"/>
      <c r="F173" s="267"/>
    </row>
  </sheetData>
  <mergeCells count="5">
    <mergeCell ref="A1:F1"/>
    <mergeCell ref="A162:A163"/>
    <mergeCell ref="B164:D164"/>
    <mergeCell ref="B3:F3"/>
    <mergeCell ref="B7:D7"/>
  </mergeCells>
  <pageMargins left="0.7" right="0.7" top="0.75" bottom="0.75" header="0.3" footer="0.3"/>
  <pageSetup scale="96" orientation="portrait" r:id="rId1"/>
  <rowBreaks count="1" manualBreakCount="1">
    <brk id="1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145"/>
  <sheetViews>
    <sheetView view="pageBreakPreview" topLeftCell="A130" zoomScale="80" zoomScaleNormal="90" zoomScaleSheetLayoutView="80" workbookViewId="0">
      <selection activeCell="I75" sqref="I75"/>
    </sheetView>
  </sheetViews>
  <sheetFormatPr defaultRowHeight="15.75"/>
  <cols>
    <col min="1" max="1" width="6.125" style="388" customWidth="1"/>
    <col min="2" max="2" width="38.625" style="321" customWidth="1"/>
    <col min="3" max="3" width="9" style="322"/>
    <col min="4" max="4" width="12.375" style="389" customWidth="1"/>
    <col min="5" max="6" width="12.625" style="323" customWidth="1"/>
    <col min="7" max="249" width="9" style="43"/>
  </cols>
  <sheetData>
    <row r="1" spans="1:250" ht="14.1" customHeight="1">
      <c r="A1" s="1032" t="s">
        <v>883</v>
      </c>
      <c r="B1" s="1032"/>
      <c r="C1" s="1032"/>
      <c r="D1" s="1032"/>
      <c r="E1" s="243"/>
      <c r="F1" s="244"/>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row>
    <row r="2" spans="1:250">
      <c r="A2" s="325" t="s">
        <v>884</v>
      </c>
      <c r="B2" s="246"/>
      <c r="C2" s="246"/>
      <c r="D2" s="246"/>
      <c r="E2" s="243"/>
      <c r="F2" s="244"/>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row>
    <row r="3" spans="1:250" ht="13.35" customHeight="1">
      <c r="A3" s="1033" t="s">
        <v>885</v>
      </c>
      <c r="B3" s="1033"/>
      <c r="C3" s="1033"/>
      <c r="D3" s="1033"/>
      <c r="E3" s="1033"/>
      <c r="F3" s="103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row>
    <row r="4" spans="1:250" s="247" customFormat="1" ht="364.15" customHeight="1">
      <c r="A4" s="1035" t="s">
        <v>1906</v>
      </c>
      <c r="B4" s="1035"/>
      <c r="C4" s="1035"/>
      <c r="D4" s="1035"/>
      <c r="E4" s="1035"/>
      <c r="F4" s="1035"/>
    </row>
    <row r="5" spans="1:250">
      <c r="A5" s="326"/>
      <c r="B5" s="249"/>
      <c r="C5" s="327"/>
      <c r="D5" s="328"/>
      <c r="E5" s="328"/>
      <c r="F5" s="249"/>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row>
    <row r="6" spans="1:250">
      <c r="A6" s="329"/>
      <c r="B6" s="1034" t="s">
        <v>886</v>
      </c>
      <c r="C6" s="1034"/>
      <c r="D6" s="1034"/>
      <c r="E6" s="1034"/>
      <c r="F6" s="1034"/>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row>
    <row r="7" spans="1:250">
      <c r="A7" s="330"/>
      <c r="B7" s="331"/>
      <c r="C7" s="331"/>
      <c r="D7" s="331"/>
      <c r="E7" s="331"/>
      <c r="F7" s="249"/>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row>
    <row r="8" spans="1:250">
      <c r="A8" s="332"/>
      <c r="B8" s="251" t="s">
        <v>887</v>
      </c>
      <c r="C8" s="333"/>
      <c r="D8" s="334"/>
      <c r="E8" s="334"/>
      <c r="F8" s="334"/>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row>
    <row r="9" spans="1:250">
      <c r="A9"/>
      <c r="B9" s="249"/>
      <c r="C9" s="249"/>
      <c r="D9" s="249"/>
      <c r="E9" s="249"/>
      <c r="F9" s="24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row>
    <row r="10" spans="1:250" ht="14.85" customHeight="1">
      <c r="A10" s="335" t="s">
        <v>1610</v>
      </c>
      <c r="B10" s="1029" t="s">
        <v>1377</v>
      </c>
      <c r="C10" s="1029"/>
      <c r="D10" s="1029"/>
      <c r="E10" s="249"/>
      <c r="F10" s="249"/>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row>
    <row r="11" spans="1:250">
      <c r="A11"/>
      <c r="B11" s="249"/>
      <c r="C11" s="249"/>
      <c r="D11" s="249"/>
      <c r="E11" s="249"/>
      <c r="F11" s="249"/>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row>
    <row r="12" spans="1:250" s="44" customFormat="1" ht="32.25" thickBot="1">
      <c r="A12" s="336" t="s">
        <v>888</v>
      </c>
      <c r="B12" s="337" t="s">
        <v>889</v>
      </c>
      <c r="C12" s="337" t="s">
        <v>890</v>
      </c>
      <c r="D12" s="337" t="s">
        <v>384</v>
      </c>
      <c r="E12" s="338" t="s">
        <v>891</v>
      </c>
      <c r="F12" s="339" t="s">
        <v>892</v>
      </c>
      <c r="IP12" s="43"/>
    </row>
    <row r="13" spans="1:250" ht="16.5" thickTop="1">
      <c r="A13" s="340"/>
      <c r="B13" s="270"/>
      <c r="C13" s="277"/>
      <c r="D13" s="341"/>
      <c r="E13" s="274"/>
      <c r="F13" s="274"/>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row>
    <row r="14" spans="1:250">
      <c r="A14" s="342" t="s">
        <v>1449</v>
      </c>
      <c r="B14" s="280" t="s">
        <v>1611</v>
      </c>
      <c r="C14" s="277"/>
      <c r="D14" s="286"/>
      <c r="E14" s="286"/>
      <c r="F14" s="286"/>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row>
    <row r="15" spans="1:250">
      <c r="A15" s="342"/>
      <c r="B15" s="280"/>
      <c r="C15" s="277"/>
      <c r="D15" s="286"/>
      <c r="E15" s="286"/>
      <c r="F15" s="286"/>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row>
    <row r="16" spans="1:250" ht="126">
      <c r="A16" s="343" t="s">
        <v>0</v>
      </c>
      <c r="B16" s="344" t="s">
        <v>893</v>
      </c>
      <c r="C16" s="271"/>
      <c r="D16" s="345"/>
      <c r="E16" s="345"/>
      <c r="F16" s="345"/>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row>
    <row r="17" spans="1:249">
      <c r="A17" s="346"/>
      <c r="B17" s="270" t="s">
        <v>894</v>
      </c>
      <c r="C17" s="277"/>
      <c r="D17" s="286"/>
      <c r="E17" s="286"/>
      <c r="F17" s="286"/>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row>
    <row r="18" spans="1:249">
      <c r="A18" s="346"/>
      <c r="B18" s="270" t="s">
        <v>895</v>
      </c>
      <c r="C18" s="277" t="s">
        <v>109</v>
      </c>
      <c r="D18" s="286">
        <v>220</v>
      </c>
      <c r="E18" s="286"/>
      <c r="F18" s="286"/>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row>
    <row r="19" spans="1:249">
      <c r="A19" s="346"/>
      <c r="B19" s="270" t="s">
        <v>896</v>
      </c>
      <c r="C19" s="277" t="s">
        <v>109</v>
      </c>
      <c r="D19" s="286">
        <v>70</v>
      </c>
      <c r="E19" s="286"/>
      <c r="F19" s="286"/>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row>
    <row r="20" spans="1:249">
      <c r="A20" s="346"/>
      <c r="B20" s="270" t="s">
        <v>897</v>
      </c>
      <c r="C20" s="277" t="s">
        <v>109</v>
      </c>
      <c r="D20" s="286">
        <v>40</v>
      </c>
      <c r="E20" s="286"/>
      <c r="F20" s="286"/>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row>
    <row r="21" spans="1:249">
      <c r="A21" s="346"/>
      <c r="B21" s="270" t="s">
        <v>898</v>
      </c>
      <c r="C21" s="277" t="s">
        <v>109</v>
      </c>
      <c r="D21" s="286">
        <v>25</v>
      </c>
      <c r="E21" s="286"/>
      <c r="F21" s="286"/>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row>
    <row r="22" spans="1:249">
      <c r="A22" s="346"/>
      <c r="B22" s="257"/>
      <c r="C22" s="258"/>
      <c r="D22" s="347"/>
      <c r="E22" s="347"/>
      <c r="F22" s="347"/>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row>
    <row r="23" spans="1:249" ht="31.5">
      <c r="A23" s="343" t="s">
        <v>1</v>
      </c>
      <c r="B23" s="295" t="s">
        <v>899</v>
      </c>
      <c r="C23" s="271"/>
      <c r="D23" s="345"/>
      <c r="E23" s="345"/>
      <c r="F23" s="345"/>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row>
    <row r="24" spans="1:249">
      <c r="A24" s="346"/>
      <c r="B24" s="270" t="s">
        <v>900</v>
      </c>
      <c r="C24" s="348" t="s">
        <v>1612</v>
      </c>
      <c r="D24" s="286"/>
      <c r="E24" s="286"/>
      <c r="F24" s="286"/>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row>
    <row r="25" spans="1:249">
      <c r="A25" s="346"/>
      <c r="B25" s="257"/>
      <c r="C25" s="258"/>
      <c r="D25" s="347"/>
      <c r="E25" s="347"/>
      <c r="F25" s="347"/>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row>
    <row r="26" spans="1:249" ht="31.5">
      <c r="A26" s="343" t="s">
        <v>2</v>
      </c>
      <c r="B26" s="295" t="s">
        <v>901</v>
      </c>
      <c r="C26" s="271"/>
      <c r="D26" s="345"/>
      <c r="E26" s="345"/>
      <c r="F26" s="345"/>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row>
    <row r="27" spans="1:249">
      <c r="A27" s="346"/>
      <c r="B27" s="270" t="s">
        <v>900</v>
      </c>
      <c r="C27" s="348" t="s">
        <v>1612</v>
      </c>
      <c r="D27" s="286"/>
      <c r="E27" s="286"/>
      <c r="F27" s="286"/>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row>
    <row r="28" spans="1:249">
      <c r="A28" s="346"/>
      <c r="B28" s="257"/>
      <c r="C28" s="258"/>
      <c r="D28" s="347"/>
      <c r="E28" s="347"/>
      <c r="F28" s="347"/>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row>
    <row r="29" spans="1:249" ht="31.5">
      <c r="A29" s="343" t="s">
        <v>3</v>
      </c>
      <c r="B29" s="295" t="s">
        <v>1613</v>
      </c>
      <c r="C29" s="271"/>
      <c r="D29" s="345"/>
      <c r="E29" s="345"/>
      <c r="F29" s="345"/>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row>
    <row r="30" spans="1:249">
      <c r="A30" s="346"/>
      <c r="B30" s="270" t="s">
        <v>902</v>
      </c>
      <c r="C30" s="277"/>
      <c r="D30" s="286"/>
      <c r="E30" s="286"/>
      <c r="F30" s="286"/>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row>
    <row r="31" spans="1:249">
      <c r="A31" s="346"/>
      <c r="B31" s="270" t="s">
        <v>903</v>
      </c>
      <c r="C31" s="277" t="s">
        <v>8</v>
      </c>
      <c r="D31" s="286">
        <v>3</v>
      </c>
      <c r="E31" s="286"/>
      <c r="F31" s="286"/>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row>
    <row r="32" spans="1:249">
      <c r="A32" s="346"/>
      <c r="B32" s="270" t="s">
        <v>904</v>
      </c>
      <c r="C32" s="277" t="s">
        <v>8</v>
      </c>
      <c r="D32" s="286">
        <v>9</v>
      </c>
      <c r="E32" s="286"/>
      <c r="F32" s="286"/>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row>
    <row r="33" spans="1:249">
      <c r="A33" s="346"/>
      <c r="B33" s="270" t="s">
        <v>905</v>
      </c>
      <c r="C33" s="277" t="s">
        <v>8</v>
      </c>
      <c r="D33" s="286">
        <v>34</v>
      </c>
      <c r="E33" s="286"/>
      <c r="F33" s="286"/>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row>
    <row r="34" spans="1:249">
      <c r="A34" s="346"/>
      <c r="B34" s="257"/>
      <c r="C34" s="258"/>
      <c r="D34" s="347"/>
      <c r="E34" s="347"/>
      <c r="F34" s="347"/>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row>
    <row r="35" spans="1:249" ht="47.25">
      <c r="A35" s="343" t="s">
        <v>4</v>
      </c>
      <c r="B35" s="295" t="s">
        <v>906</v>
      </c>
      <c r="C35" s="271"/>
      <c r="D35" s="345"/>
      <c r="E35" s="345"/>
      <c r="F35" s="34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row>
    <row r="36" spans="1:249">
      <c r="A36" s="343"/>
      <c r="B36" s="270" t="s">
        <v>907</v>
      </c>
      <c r="C36" s="277"/>
      <c r="D36" s="286"/>
      <c r="E36" s="286"/>
      <c r="F36" s="28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row>
    <row r="37" spans="1:249">
      <c r="A37" s="343"/>
      <c r="B37" s="270" t="s">
        <v>908</v>
      </c>
      <c r="C37" s="277" t="s">
        <v>109</v>
      </c>
      <c r="D37" s="286">
        <v>290</v>
      </c>
      <c r="E37" s="286"/>
      <c r="F37" s="286"/>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row>
    <row r="38" spans="1:249">
      <c r="A38" s="346"/>
      <c r="B38" s="270" t="s">
        <v>909</v>
      </c>
      <c r="C38" s="277" t="s">
        <v>109</v>
      </c>
      <c r="D38" s="286">
        <v>65</v>
      </c>
      <c r="E38" s="286"/>
      <c r="F38" s="286"/>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row>
    <row r="39" spans="1:249">
      <c r="A39" s="346"/>
      <c r="B39" s="270"/>
      <c r="C39" s="277"/>
      <c r="D39" s="286"/>
      <c r="E39" s="286"/>
      <c r="F39" s="286"/>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row>
    <row r="40" spans="1:249" s="45" customFormat="1" ht="16.5" thickBot="1">
      <c r="A40" s="349"/>
      <c r="B40" s="350" t="s">
        <v>1568</v>
      </c>
      <c r="C40" s="351"/>
      <c r="D40" s="352"/>
      <c r="E40" s="352"/>
      <c r="F40" s="756"/>
    </row>
    <row r="41" spans="1:249" ht="16.5" thickTop="1">
      <c r="A41" s="353"/>
      <c r="B41" s="354"/>
      <c r="C41" s="355"/>
      <c r="D41" s="356"/>
      <c r="E41" s="356"/>
      <c r="F41" s="356"/>
    </row>
    <row r="42" spans="1:249">
      <c r="A42" s="342" t="s">
        <v>1450</v>
      </c>
      <c r="B42" s="280" t="s">
        <v>1614</v>
      </c>
      <c r="C42" s="277"/>
      <c r="D42" s="286"/>
      <c r="E42" s="286"/>
      <c r="F42" s="286"/>
    </row>
    <row r="43" spans="1:249">
      <c r="A43" s="342"/>
      <c r="B43" s="280"/>
      <c r="C43" s="277"/>
      <c r="D43" s="286"/>
      <c r="E43" s="286"/>
      <c r="F43" s="286"/>
    </row>
    <row r="44" spans="1:249" ht="141.75">
      <c r="A44" s="343" t="s">
        <v>0</v>
      </c>
      <c r="B44" s="357" t="s">
        <v>910</v>
      </c>
      <c r="C44" s="271"/>
      <c r="D44" s="345"/>
      <c r="E44" s="345"/>
      <c r="F44" s="345"/>
    </row>
    <row r="45" spans="1:249">
      <c r="A45" s="343"/>
      <c r="B45" s="270" t="s">
        <v>894</v>
      </c>
      <c r="C45" s="277"/>
      <c r="D45" s="286"/>
      <c r="E45" s="286"/>
      <c r="F45" s="286"/>
    </row>
    <row r="46" spans="1:249">
      <c r="A46" s="346"/>
      <c r="B46" s="270" t="s">
        <v>911</v>
      </c>
      <c r="C46" s="277" t="s">
        <v>109</v>
      </c>
      <c r="D46" s="286">
        <v>30</v>
      </c>
      <c r="E46" s="286"/>
      <c r="F46" s="286"/>
    </row>
    <row r="47" spans="1:249">
      <c r="A47" s="346"/>
      <c r="B47" s="270" t="s">
        <v>912</v>
      </c>
      <c r="C47" s="277" t="s">
        <v>109</v>
      </c>
      <c r="D47" s="286">
        <v>100</v>
      </c>
      <c r="E47" s="286"/>
      <c r="F47" s="286"/>
    </row>
    <row r="48" spans="1:249">
      <c r="A48" s="346"/>
      <c r="B48" s="270" t="s">
        <v>1615</v>
      </c>
      <c r="C48" s="277" t="s">
        <v>109</v>
      </c>
      <c r="D48" s="286">
        <v>70</v>
      </c>
      <c r="E48" s="286"/>
      <c r="F48" s="286"/>
    </row>
    <row r="49" spans="1:249">
      <c r="A49" s="346"/>
      <c r="B49" s="270" t="s">
        <v>913</v>
      </c>
      <c r="C49" s="277" t="s">
        <v>109</v>
      </c>
      <c r="D49" s="286">
        <v>15</v>
      </c>
      <c r="E49" s="286"/>
      <c r="F49" s="286"/>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row>
    <row r="50" spans="1:249">
      <c r="A50" s="346"/>
      <c r="B50" s="270" t="s">
        <v>1616</v>
      </c>
      <c r="C50" s="277" t="s">
        <v>109</v>
      </c>
      <c r="D50" s="286">
        <v>50</v>
      </c>
      <c r="E50" s="286"/>
      <c r="F50" s="286"/>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row>
    <row r="51" spans="1:249">
      <c r="A51" s="346"/>
      <c r="B51" s="270"/>
      <c r="C51" s="277"/>
      <c r="D51" s="286"/>
      <c r="E51" s="286"/>
      <c r="F51" s="286"/>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row>
    <row r="52" spans="1:249" ht="31.5">
      <c r="A52" s="343" t="s">
        <v>1</v>
      </c>
      <c r="B52" s="295" t="s">
        <v>914</v>
      </c>
      <c r="C52" s="358"/>
      <c r="D52" s="359"/>
      <c r="E52" s="359"/>
      <c r="F52" s="359"/>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row>
    <row r="53" spans="1:249" ht="31.5">
      <c r="A53" s="346"/>
      <c r="B53" s="270" t="s">
        <v>915</v>
      </c>
      <c r="C53" s="277"/>
      <c r="D53" s="286"/>
      <c r="E53" s="286"/>
      <c r="F53" s="286"/>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row>
    <row r="54" spans="1:249">
      <c r="A54" s="346"/>
      <c r="B54" s="270" t="s">
        <v>1617</v>
      </c>
      <c r="C54" s="277" t="s">
        <v>8</v>
      </c>
      <c r="D54" s="286">
        <v>2</v>
      </c>
      <c r="E54" s="286"/>
      <c r="F54" s="286"/>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row>
    <row r="55" spans="1:249">
      <c r="A55" s="346"/>
      <c r="B55" s="270" t="s">
        <v>1618</v>
      </c>
      <c r="C55" s="277" t="s">
        <v>8</v>
      </c>
      <c r="D55" s="286">
        <v>11</v>
      </c>
      <c r="E55" s="286"/>
      <c r="F55" s="286"/>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row>
    <row r="56" spans="1:249">
      <c r="A56" s="346"/>
      <c r="B56" s="256"/>
      <c r="C56" s="256"/>
      <c r="D56" s="256"/>
      <c r="E56" s="256"/>
      <c r="F56" s="2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row>
    <row r="57" spans="1:249" ht="47.25">
      <c r="A57" s="343" t="s">
        <v>2</v>
      </c>
      <c r="B57" s="295" t="s">
        <v>916</v>
      </c>
      <c r="C57" s="271"/>
      <c r="D57" s="345"/>
      <c r="E57" s="345"/>
      <c r="F57" s="345"/>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row>
    <row r="58" spans="1:249">
      <c r="A58" s="346"/>
      <c r="B58" s="270" t="s">
        <v>917</v>
      </c>
      <c r="C58" s="277"/>
      <c r="D58" s="286"/>
      <c r="E58" s="286"/>
      <c r="F58" s="286"/>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row>
    <row r="59" spans="1:249">
      <c r="A59" s="346"/>
      <c r="B59" s="270" t="s">
        <v>947</v>
      </c>
      <c r="C59" s="277" t="s">
        <v>8</v>
      </c>
      <c r="D59" s="286">
        <v>12</v>
      </c>
      <c r="E59" s="286"/>
      <c r="F59" s="286"/>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row>
    <row r="60" spans="1:249">
      <c r="A60" s="346"/>
      <c r="B60" s="270" t="s">
        <v>1619</v>
      </c>
      <c r="C60" s="277" t="s">
        <v>8</v>
      </c>
      <c r="D60" s="286">
        <v>1</v>
      </c>
      <c r="E60" s="286"/>
      <c r="F60" s="286"/>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row>
    <row r="61" spans="1:249">
      <c r="A61" s="346"/>
      <c r="B61" s="270"/>
      <c r="C61" s="277"/>
      <c r="D61" s="286"/>
      <c r="E61" s="286"/>
      <c r="F61" s="286"/>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row>
    <row r="62" spans="1:249" ht="16.5" thickBot="1">
      <c r="A62" s="349"/>
      <c r="B62" s="360" t="s">
        <v>1577</v>
      </c>
      <c r="C62" s="351"/>
      <c r="D62" s="352"/>
      <c r="E62" s="352"/>
      <c r="F62" s="756"/>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row>
    <row r="63" spans="1:249" ht="16.5" thickTop="1">
      <c r="A63" s="361"/>
      <c r="B63" s="288"/>
      <c r="C63" s="289"/>
      <c r="D63" s="362"/>
      <c r="E63" s="362"/>
      <c r="F63" s="362"/>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row>
    <row r="64" spans="1:249">
      <c r="A64" s="342" t="s">
        <v>1454</v>
      </c>
      <c r="B64" s="280" t="s">
        <v>918</v>
      </c>
      <c r="C64" s="277"/>
      <c r="D64" s="286"/>
      <c r="E64" s="286"/>
      <c r="F64" s="286"/>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row>
    <row r="65" spans="1:249">
      <c r="A65" s="342"/>
      <c r="B65" s="280"/>
      <c r="C65" s="277"/>
      <c r="D65" s="286"/>
      <c r="E65" s="286"/>
      <c r="F65" s="286"/>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row>
    <row r="66" spans="1:249" ht="141.75">
      <c r="A66" s="343" t="s">
        <v>0</v>
      </c>
      <c r="B66" s="295" t="s">
        <v>1620</v>
      </c>
      <c r="C66" s="271"/>
      <c r="D66" s="345"/>
      <c r="E66" s="345"/>
      <c r="F66" s="345"/>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row>
    <row r="67" spans="1:249">
      <c r="A67" s="343"/>
      <c r="B67" s="285" t="s">
        <v>919</v>
      </c>
      <c r="C67" s="277" t="s">
        <v>8</v>
      </c>
      <c r="D67" s="286">
        <v>60</v>
      </c>
      <c r="E67" s="286"/>
      <c r="F67" s="286"/>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row>
    <row r="68" spans="1:249">
      <c r="A68" s="343"/>
      <c r="B68" s="285"/>
      <c r="C68" s="277"/>
      <c r="D68" s="286"/>
      <c r="E68" s="286"/>
      <c r="F68" s="286"/>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row>
    <row r="69" spans="1:249" ht="189">
      <c r="A69" s="343" t="s">
        <v>1</v>
      </c>
      <c r="B69" s="285" t="s">
        <v>920</v>
      </c>
      <c r="C69" s="277"/>
      <c r="D69" s="286"/>
      <c r="E69" s="286"/>
      <c r="F69" s="286"/>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row>
    <row r="70" spans="1:249">
      <c r="A70" s="343"/>
      <c r="B70" s="285" t="s">
        <v>919</v>
      </c>
      <c r="C70" s="277" t="s">
        <v>8</v>
      </c>
      <c r="D70" s="286">
        <v>3</v>
      </c>
      <c r="E70" s="286"/>
      <c r="F70" s="286"/>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row>
    <row r="71" spans="1:249">
      <c r="A71" s="343"/>
      <c r="B71" s="285"/>
      <c r="C71" s="277"/>
      <c r="D71" s="286"/>
      <c r="E71" s="286"/>
      <c r="F71" s="286"/>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row>
    <row r="72" spans="1:249" ht="173.25">
      <c r="A72" s="343" t="s">
        <v>2</v>
      </c>
      <c r="B72" s="295" t="s">
        <v>921</v>
      </c>
      <c r="C72" s="271"/>
      <c r="D72" s="345"/>
      <c r="E72" s="345"/>
      <c r="F72" s="345"/>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row>
    <row r="73" spans="1:249" ht="31.5">
      <c r="A73" s="346"/>
      <c r="B73" s="285" t="s">
        <v>922</v>
      </c>
      <c r="C73" s="277" t="s">
        <v>8</v>
      </c>
      <c r="D73" s="286">
        <v>12</v>
      </c>
      <c r="E73" s="286"/>
      <c r="F73" s="286"/>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row>
    <row r="74" spans="1:249">
      <c r="A74" s="346"/>
      <c r="B74" s="285"/>
      <c r="C74" s="277"/>
      <c r="D74" s="286"/>
      <c r="E74" s="286"/>
      <c r="F74" s="286"/>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row>
    <row r="75" spans="1:249" ht="141.75">
      <c r="A75" s="343" t="s">
        <v>3</v>
      </c>
      <c r="B75" s="285" t="s">
        <v>923</v>
      </c>
      <c r="C75" s="277"/>
      <c r="D75" s="286"/>
      <c r="E75" s="286"/>
      <c r="F75" s="286"/>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row>
    <row r="76" spans="1:249">
      <c r="A76" s="346"/>
      <c r="B76" s="285" t="s">
        <v>919</v>
      </c>
      <c r="C76" s="277" t="s">
        <v>8</v>
      </c>
      <c r="D76" s="286">
        <v>3</v>
      </c>
      <c r="E76" s="286"/>
      <c r="F76" s="28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row>
    <row r="77" spans="1:249">
      <c r="A77" s="346"/>
      <c r="B77" s="285"/>
      <c r="C77" s="277"/>
      <c r="D77" s="286"/>
      <c r="E77" s="286"/>
      <c r="F77" s="286"/>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row>
    <row r="78" spans="1:249" ht="31.5">
      <c r="A78" s="343" t="s">
        <v>4</v>
      </c>
      <c r="B78" s="295" t="s">
        <v>924</v>
      </c>
      <c r="C78" s="358"/>
      <c r="D78" s="359"/>
      <c r="E78" s="359"/>
      <c r="F78" s="359"/>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row>
    <row r="79" spans="1:249">
      <c r="A79" s="346"/>
      <c r="B79" s="270" t="s">
        <v>925</v>
      </c>
      <c r="C79" s="277" t="s">
        <v>8</v>
      </c>
      <c r="D79" s="286">
        <v>3</v>
      </c>
      <c r="E79" s="286"/>
      <c r="F79" s="286"/>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row>
    <row r="80" spans="1:249">
      <c r="A80" s="346"/>
      <c r="B80" s="270"/>
      <c r="C80" s="277"/>
      <c r="D80" s="286"/>
      <c r="E80" s="286"/>
      <c r="F80" s="286"/>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row>
    <row r="81" spans="1:249" ht="94.5">
      <c r="A81" s="363" t="s">
        <v>5</v>
      </c>
      <c r="B81" s="364" t="s">
        <v>926</v>
      </c>
      <c r="C81" s="271"/>
      <c r="D81" s="345"/>
      <c r="E81" s="345"/>
      <c r="F81" s="345"/>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row>
    <row r="82" spans="1:249">
      <c r="A82" s="365"/>
      <c r="B82" s="285" t="s">
        <v>919</v>
      </c>
      <c r="C82" s="277" t="s">
        <v>8</v>
      </c>
      <c r="D82" s="286">
        <v>3</v>
      </c>
      <c r="E82" s="286"/>
      <c r="F82" s="286"/>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row>
    <row r="83" spans="1:249">
      <c r="A83" s="346"/>
      <c r="B83" s="257"/>
      <c r="C83" s="258"/>
      <c r="D83" s="347"/>
      <c r="E83" s="347"/>
      <c r="F83" s="347"/>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row>
    <row r="84" spans="1:249" ht="16.5" thickBot="1">
      <c r="A84" s="349"/>
      <c r="B84" s="350" t="s">
        <v>1579</v>
      </c>
      <c r="C84" s="351"/>
      <c r="D84" s="352"/>
      <c r="E84" s="352"/>
      <c r="F84" s="756"/>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row>
    <row r="85" spans="1:249" ht="16.5" thickTop="1">
      <c r="A85" s="361"/>
      <c r="B85" s="288"/>
      <c r="C85" s="289"/>
      <c r="D85" s="362"/>
      <c r="E85" s="362"/>
      <c r="F85" s="362"/>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row>
    <row r="86" spans="1:249">
      <c r="A86" s="342" t="s">
        <v>1580</v>
      </c>
      <c r="B86" s="280" t="s">
        <v>927</v>
      </c>
      <c r="C86" s="277"/>
      <c r="D86" s="286"/>
      <c r="E86" s="286"/>
      <c r="F86" s="2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row>
    <row r="87" spans="1:249">
      <c r="A87" s="342"/>
      <c r="B87" s="280"/>
      <c r="C87" s="277"/>
      <c r="D87" s="286"/>
      <c r="E87" s="286"/>
      <c r="F87" s="286"/>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row>
    <row r="88" spans="1:249" ht="47.25">
      <c r="A88" s="343" t="s">
        <v>0</v>
      </c>
      <c r="B88" s="295" t="s">
        <v>1621</v>
      </c>
      <c r="C88" s="271"/>
      <c r="D88" s="345"/>
      <c r="E88" s="345"/>
      <c r="F88" s="345"/>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row>
    <row r="89" spans="1:249">
      <c r="A89" s="343"/>
      <c r="B89" s="270" t="s">
        <v>928</v>
      </c>
      <c r="C89" s="277" t="s">
        <v>8</v>
      </c>
      <c r="D89" s="286">
        <v>63</v>
      </c>
      <c r="E89" s="286"/>
      <c r="F89" s="286"/>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row>
    <row r="90" spans="1:249">
      <c r="A90" s="366"/>
      <c r="B90" s="257"/>
      <c r="C90" s="258"/>
      <c r="D90" s="347"/>
      <c r="E90" s="347"/>
      <c r="F90" s="347"/>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row>
    <row r="91" spans="1:249" ht="47.25">
      <c r="A91" s="343" t="s">
        <v>1</v>
      </c>
      <c r="B91" s="295" t="s">
        <v>929</v>
      </c>
      <c r="C91" s="271"/>
      <c r="D91" s="345"/>
      <c r="E91" s="345"/>
      <c r="F91" s="345"/>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row>
    <row r="92" spans="1:249">
      <c r="A92" s="346"/>
      <c r="B92" s="270" t="s">
        <v>928</v>
      </c>
      <c r="C92" s="277" t="s">
        <v>8</v>
      </c>
      <c r="D92" s="286">
        <v>2</v>
      </c>
      <c r="E92" s="286"/>
      <c r="F92" s="286"/>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row>
    <row r="93" spans="1:249">
      <c r="A93" s="346"/>
      <c r="B93" s="257"/>
      <c r="C93" s="258"/>
      <c r="D93" s="347"/>
      <c r="E93" s="347"/>
      <c r="F93" s="347"/>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row>
    <row r="94" spans="1:249" ht="31.5">
      <c r="A94" s="343" t="s">
        <v>2</v>
      </c>
      <c r="B94" s="295" t="s">
        <v>930</v>
      </c>
      <c r="C94" s="271"/>
      <c r="D94" s="345"/>
      <c r="E94" s="345"/>
      <c r="F94" s="345"/>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row>
    <row r="95" spans="1:249" ht="31.5">
      <c r="A95" s="346"/>
      <c r="B95" s="270" t="s">
        <v>931</v>
      </c>
      <c r="C95" s="277"/>
      <c r="D95" s="286"/>
      <c r="E95" s="286"/>
      <c r="F95" s="286"/>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row>
    <row r="96" spans="1:249">
      <c r="A96" s="346"/>
      <c r="B96" s="270" t="s">
        <v>932</v>
      </c>
      <c r="C96" s="277" t="s">
        <v>8</v>
      </c>
      <c r="D96" s="286">
        <v>1</v>
      </c>
      <c r="E96" s="286"/>
      <c r="F96" s="28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row>
    <row r="97" spans="1:249">
      <c r="A97" s="346"/>
      <c r="B97" s="367" t="s">
        <v>933</v>
      </c>
      <c r="C97" s="358"/>
      <c r="D97" s="359"/>
      <c r="E97" s="359"/>
      <c r="F97" s="359"/>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row>
    <row r="98" spans="1:249">
      <c r="A98" s="346"/>
      <c r="B98" s="270" t="s">
        <v>934</v>
      </c>
      <c r="C98" s="277" t="s">
        <v>8</v>
      </c>
      <c r="D98" s="286">
        <v>9</v>
      </c>
      <c r="E98" s="286"/>
      <c r="F98" s="286"/>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row>
    <row r="99" spans="1:249">
      <c r="A99" s="346"/>
      <c r="B99" s="270" t="s">
        <v>935</v>
      </c>
      <c r="C99" s="277" t="s">
        <v>8</v>
      </c>
      <c r="D99" s="286">
        <v>3</v>
      </c>
      <c r="E99" s="286"/>
      <c r="F99" s="286"/>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row>
    <row r="100" spans="1:249">
      <c r="A100" s="346"/>
      <c r="B100" s="270" t="s">
        <v>932</v>
      </c>
      <c r="C100" s="277" t="s">
        <v>8</v>
      </c>
      <c r="D100" s="286">
        <v>1</v>
      </c>
      <c r="E100" s="286"/>
      <c r="F100" s="286"/>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row>
    <row r="101" spans="1:249">
      <c r="A101" s="346"/>
      <c r="B101" s="270" t="s">
        <v>936</v>
      </c>
      <c r="C101" s="277" t="s">
        <v>8</v>
      </c>
      <c r="D101" s="286">
        <v>63</v>
      </c>
      <c r="E101" s="286"/>
      <c r="F101" s="286"/>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row>
    <row r="102" spans="1:249">
      <c r="A102" s="346"/>
      <c r="B102" s="270" t="s">
        <v>937</v>
      </c>
      <c r="C102" s="277" t="s">
        <v>8</v>
      </c>
      <c r="D102" s="286">
        <v>15</v>
      </c>
      <c r="E102" s="286"/>
      <c r="F102" s="286"/>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row>
    <row r="103" spans="1:249">
      <c r="A103" s="346"/>
      <c r="B103" s="257"/>
      <c r="C103" s="258"/>
      <c r="D103" s="347"/>
      <c r="E103" s="347"/>
      <c r="F103" s="347"/>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row>
    <row r="104" spans="1:249" ht="63">
      <c r="A104" s="363" t="s">
        <v>3</v>
      </c>
      <c r="B104" s="295" t="s">
        <v>938</v>
      </c>
      <c r="C104" s="358"/>
      <c r="D104" s="359"/>
      <c r="E104" s="359"/>
      <c r="F104" s="359"/>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row>
    <row r="105" spans="1:249">
      <c r="A105" s="365"/>
      <c r="B105" s="270" t="s">
        <v>1622</v>
      </c>
      <c r="C105" s="368" t="s">
        <v>8</v>
      </c>
      <c r="D105" s="369">
        <v>40</v>
      </c>
      <c r="E105" s="370"/>
      <c r="F105" s="274"/>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row>
    <row r="106" spans="1:249">
      <c r="A106" s="365"/>
      <c r="B106" s="270" t="s">
        <v>1623</v>
      </c>
      <c r="C106" s="368" t="s">
        <v>8</v>
      </c>
      <c r="D106" s="369">
        <v>12</v>
      </c>
      <c r="E106" s="370"/>
      <c r="F106" s="274"/>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row>
    <row r="107" spans="1:249">
      <c r="A107" s="365"/>
      <c r="B107" s="270" t="s">
        <v>1624</v>
      </c>
      <c r="C107" s="368" t="s">
        <v>8</v>
      </c>
      <c r="D107" s="369">
        <v>40</v>
      </c>
      <c r="E107" s="370"/>
      <c r="F107" s="274"/>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row>
    <row r="108" spans="1:249">
      <c r="A108" s="365"/>
      <c r="B108" s="270" t="s">
        <v>939</v>
      </c>
      <c r="C108" s="368" t="s">
        <v>8</v>
      </c>
      <c r="D108" s="369">
        <v>12</v>
      </c>
      <c r="E108" s="370"/>
      <c r="F108" s="274"/>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row>
    <row r="109" spans="1:249">
      <c r="A109" s="365"/>
      <c r="B109" s="270" t="s">
        <v>940</v>
      </c>
      <c r="C109" s="368" t="s">
        <v>8</v>
      </c>
      <c r="D109" s="369">
        <v>74</v>
      </c>
      <c r="E109" s="370"/>
      <c r="F109" s="274"/>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row>
    <row r="110" spans="1:249">
      <c r="A110" s="365"/>
      <c r="B110" s="270" t="s">
        <v>941</v>
      </c>
      <c r="C110" s="368" t="s">
        <v>8</v>
      </c>
      <c r="D110" s="369">
        <v>28</v>
      </c>
      <c r="E110" s="370"/>
      <c r="F110" s="274"/>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row>
    <row r="111" spans="1:249">
      <c r="A111" s="365"/>
      <c r="B111" s="270" t="s">
        <v>942</v>
      </c>
      <c r="C111" s="368" t="s">
        <v>8</v>
      </c>
      <c r="D111" s="369">
        <v>37</v>
      </c>
      <c r="E111" s="370"/>
      <c r="F111" s="274"/>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row>
    <row r="112" spans="1:249">
      <c r="A112" s="365"/>
      <c r="B112" s="270" t="s">
        <v>943</v>
      </c>
      <c r="C112" s="368" t="s">
        <v>8</v>
      </c>
      <c r="D112" s="369">
        <v>3</v>
      </c>
      <c r="E112" s="370"/>
      <c r="F112" s="274"/>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row>
    <row r="113" spans="1:249">
      <c r="A113" s="371"/>
      <c r="B113" s="372"/>
      <c r="C113" s="373"/>
      <c r="D113" s="374"/>
      <c r="E113" s="375"/>
      <c r="F113" s="27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row>
    <row r="114" spans="1:249" ht="16.5" thickBot="1">
      <c r="A114" s="349"/>
      <c r="B114" s="350" t="s">
        <v>1592</v>
      </c>
      <c r="C114" s="351"/>
      <c r="D114" s="352"/>
      <c r="E114" s="352"/>
      <c r="F114" s="756"/>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row>
    <row r="115" spans="1:249" ht="16.5" thickTop="1">
      <c r="A115" s="361"/>
      <c r="B115" s="288"/>
      <c r="C115" s="289"/>
      <c r="D115" s="362"/>
      <c r="E115" s="362"/>
      <c r="F115" s="362"/>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row>
    <row r="116" spans="1:249">
      <c r="A116" s="342" t="s">
        <v>1593</v>
      </c>
      <c r="B116" s="280" t="s">
        <v>944</v>
      </c>
      <c r="C116" s="277"/>
      <c r="D116" s="286"/>
      <c r="E116" s="286"/>
      <c r="F116" s="28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row>
    <row r="117" spans="1:249">
      <c r="A117" s="342"/>
      <c r="B117" s="280"/>
      <c r="C117" s="277"/>
      <c r="D117" s="286"/>
      <c r="E117" s="286"/>
      <c r="F117" s="286"/>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row>
    <row r="118" spans="1:249" ht="126">
      <c r="A118" s="343" t="s">
        <v>0</v>
      </c>
      <c r="B118" s="295" t="s">
        <v>945</v>
      </c>
      <c r="C118" s="271"/>
      <c r="D118" s="345"/>
      <c r="E118" s="345"/>
      <c r="F118" s="345"/>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row>
    <row r="119" spans="1:249">
      <c r="A119" s="343"/>
      <c r="B119" s="270" t="s">
        <v>946</v>
      </c>
      <c r="C119" s="277"/>
      <c r="D119" s="286"/>
      <c r="E119" s="286"/>
      <c r="F119" s="286"/>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row>
    <row r="120" spans="1:249">
      <c r="A120" s="343"/>
      <c r="B120" s="270" t="s">
        <v>947</v>
      </c>
      <c r="C120" s="277" t="s">
        <v>109</v>
      </c>
      <c r="D120" s="286">
        <v>16</v>
      </c>
      <c r="E120" s="286"/>
      <c r="F120" s="286"/>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row>
    <row r="121" spans="1:249">
      <c r="A121" s="343"/>
      <c r="B121" s="270" t="s">
        <v>948</v>
      </c>
      <c r="C121" s="277" t="s">
        <v>109</v>
      </c>
      <c r="D121" s="286">
        <v>60</v>
      </c>
      <c r="E121" s="286"/>
      <c r="F121" s="286"/>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row>
    <row r="122" spans="1:249">
      <c r="A122" s="346"/>
      <c r="B122" s="257"/>
      <c r="C122" s="258"/>
      <c r="D122" s="347"/>
      <c r="E122" s="347"/>
      <c r="F122" s="347"/>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row>
    <row r="123" spans="1:249" ht="47.25">
      <c r="A123" s="343" t="s">
        <v>1</v>
      </c>
      <c r="B123" s="295" t="s">
        <v>906</v>
      </c>
      <c r="C123" s="271"/>
      <c r="D123" s="345"/>
      <c r="E123" s="345"/>
      <c r="F123" s="345"/>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row>
    <row r="124" spans="1:249">
      <c r="A124" s="343"/>
      <c r="B124" s="270" t="s">
        <v>907</v>
      </c>
      <c r="C124" s="277"/>
      <c r="D124" s="286"/>
      <c r="E124" s="286"/>
      <c r="F124" s="286"/>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row>
    <row r="125" spans="1:249">
      <c r="A125" s="343"/>
      <c r="B125" s="270" t="s">
        <v>947</v>
      </c>
      <c r="C125" s="277" t="s">
        <v>109</v>
      </c>
      <c r="D125" s="286">
        <v>16</v>
      </c>
      <c r="E125" s="286"/>
      <c r="F125" s="286"/>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row>
    <row r="126" spans="1:249">
      <c r="A126" s="346"/>
      <c r="B126" s="270" t="s">
        <v>948</v>
      </c>
      <c r="C126" s="277" t="s">
        <v>109</v>
      </c>
      <c r="D126" s="286">
        <v>60</v>
      </c>
      <c r="E126" s="286"/>
      <c r="F126" s="28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row>
    <row r="127" spans="1:249">
      <c r="A127" s="366"/>
      <c r="B127" s="257"/>
      <c r="C127" s="258"/>
      <c r="D127" s="347"/>
      <c r="E127" s="347"/>
      <c r="F127" s="34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row>
    <row r="128" spans="1:249" ht="236.25">
      <c r="A128" s="343" t="s">
        <v>2</v>
      </c>
      <c r="B128" s="376" t="s">
        <v>1625</v>
      </c>
      <c r="C128" s="277"/>
      <c r="D128" s="286"/>
      <c r="E128" s="286"/>
      <c r="F128" s="286"/>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row>
    <row r="129" spans="1:249" ht="31.5">
      <c r="A129" s="346"/>
      <c r="B129" s="285" t="s">
        <v>949</v>
      </c>
      <c r="C129" s="277" t="s">
        <v>8</v>
      </c>
      <c r="D129" s="286">
        <v>6</v>
      </c>
      <c r="E129" s="286"/>
      <c r="F129" s="286"/>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row>
    <row r="130" spans="1:249">
      <c r="A130" s="346"/>
      <c r="B130" s="285"/>
      <c r="C130" s="277"/>
      <c r="D130" s="286"/>
      <c r="E130" s="286"/>
      <c r="F130" s="286"/>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row>
    <row r="131" spans="1:249" ht="78.75">
      <c r="A131" s="363" t="s">
        <v>3</v>
      </c>
      <c r="B131" s="295" t="s">
        <v>1626</v>
      </c>
      <c r="C131" s="358"/>
      <c r="D131" s="359"/>
      <c r="E131" s="359"/>
      <c r="F131" s="359"/>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row>
    <row r="132" spans="1:249">
      <c r="A132" s="365"/>
      <c r="B132" s="270" t="s">
        <v>950</v>
      </c>
      <c r="C132" s="277" t="s">
        <v>8</v>
      </c>
      <c r="D132" s="286">
        <v>1</v>
      </c>
      <c r="E132" s="286"/>
      <c r="F132" s="286"/>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row>
    <row r="133" spans="1:249">
      <c r="A133" s="346"/>
      <c r="B133" s="257"/>
      <c r="C133" s="258"/>
      <c r="D133" s="347"/>
      <c r="E133" s="347"/>
      <c r="F133" s="347"/>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row>
    <row r="134" spans="1:249" ht="16.5" thickBot="1">
      <c r="A134" s="349"/>
      <c r="B134" s="350" t="s">
        <v>1597</v>
      </c>
      <c r="C134" s="351"/>
      <c r="D134" s="352"/>
      <c r="E134" s="352"/>
      <c r="F134" s="756"/>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row>
    <row r="135" spans="1:249" ht="16.5" thickTop="1">
      <c r="A135" s="377"/>
      <c r="B135" s="249"/>
      <c r="C135" s="249"/>
      <c r="D135" s="378"/>
      <c r="E135" s="378"/>
      <c r="F135" s="378"/>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row>
    <row r="136" spans="1:249">
      <c r="A136" s="335"/>
      <c r="B136" s="379" t="s">
        <v>951</v>
      </c>
      <c r="C136" s="249"/>
      <c r="D136" s="378"/>
      <c r="E136" s="378"/>
      <c r="F136" s="378"/>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row>
    <row r="137" spans="1:249">
      <c r="A137" s="335"/>
      <c r="B137" s="380"/>
      <c r="C137" s="249"/>
      <c r="D137" s="378"/>
      <c r="E137" s="378"/>
      <c r="F137" s="378"/>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row>
    <row r="138" spans="1:249" ht="29.85" customHeight="1">
      <c r="A138" s="335" t="s">
        <v>1610</v>
      </c>
      <c r="B138" s="1031" t="s">
        <v>1377</v>
      </c>
      <c r="C138" s="1031"/>
      <c r="D138" s="378"/>
      <c r="E138" s="378"/>
      <c r="F138" s="37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row>
    <row r="139" spans="1:249">
      <c r="A139" s="377"/>
      <c r="B139" s="249"/>
      <c r="C139" s="249"/>
      <c r="D139" s="378"/>
      <c r="E139" s="378"/>
      <c r="F139" s="378"/>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row>
    <row r="140" spans="1:249">
      <c r="A140" s="377"/>
      <c r="B140" s="276" t="s">
        <v>1627</v>
      </c>
      <c r="C140" s="381"/>
      <c r="D140" s="382"/>
      <c r="E140" s="382"/>
      <c r="F140" s="382"/>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row>
    <row r="141" spans="1:249">
      <c r="A141" s="377"/>
      <c r="B141" s="276" t="s">
        <v>1628</v>
      </c>
      <c r="C141" s="381"/>
      <c r="D141" s="382"/>
      <c r="E141" s="382"/>
      <c r="F141" s="382"/>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row>
    <row r="142" spans="1:249">
      <c r="A142" s="377"/>
      <c r="B142" s="276" t="s">
        <v>1629</v>
      </c>
      <c r="C142" s="381"/>
      <c r="D142" s="382"/>
      <c r="E142" s="382"/>
      <c r="F142" s="38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row>
    <row r="143" spans="1:249">
      <c r="A143" s="377"/>
      <c r="B143" s="276" t="s">
        <v>1630</v>
      </c>
      <c r="C143" s="381"/>
      <c r="D143" s="382"/>
      <c r="E143" s="382"/>
      <c r="F143" s="382"/>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row>
    <row r="144" spans="1:249">
      <c r="A144" s="377"/>
      <c r="B144" s="276" t="s">
        <v>1631</v>
      </c>
      <c r="C144" s="381"/>
      <c r="D144" s="382"/>
      <c r="E144" s="382"/>
      <c r="F144" s="382"/>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row>
    <row r="145" spans="1:249" ht="16.5" thickBot="1">
      <c r="A145" s="361"/>
      <c r="B145" s="383" t="s">
        <v>952</v>
      </c>
      <c r="C145" s="384"/>
      <c r="D145" s="385"/>
      <c r="E145" s="386"/>
      <c r="F145" s="387"/>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row>
  </sheetData>
  <mergeCells count="6">
    <mergeCell ref="B138:C138"/>
    <mergeCell ref="A1:D1"/>
    <mergeCell ref="A3:F3"/>
    <mergeCell ref="B6:F6"/>
    <mergeCell ref="B10:D10"/>
    <mergeCell ref="A4:F4"/>
  </mergeCells>
  <pageMargins left="0.7" right="0.7" top="0.75" bottom="0.75" header="0.3" footer="0.3"/>
  <pageSetup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0"/>
  <sheetViews>
    <sheetView view="pageBreakPreview" topLeftCell="A473" zoomScale="80" zoomScaleNormal="80" zoomScaleSheetLayoutView="80" workbookViewId="0">
      <selection activeCell="G461" sqref="G461"/>
    </sheetView>
  </sheetViews>
  <sheetFormatPr defaultColWidth="9" defaultRowHeight="15.75"/>
  <cols>
    <col min="1" max="1" width="10.75" style="644" customWidth="1"/>
    <col min="2" max="2" width="39.125" style="644" customWidth="1"/>
    <col min="3" max="3" width="7.25" style="859" customWidth="1"/>
    <col min="4" max="4" width="7.375" style="859" customWidth="1"/>
    <col min="5" max="5" width="9.625" style="857" customWidth="1"/>
    <col min="6" max="6" width="15.75" style="858" bestFit="1" customWidth="1"/>
    <col min="7" max="7" width="77.75" style="644" customWidth="1"/>
    <col min="8" max="16384" width="9" style="644"/>
  </cols>
  <sheetData>
    <row r="1" spans="1:6">
      <c r="A1" s="757"/>
      <c r="B1" s="147"/>
      <c r="C1" s="148"/>
      <c r="D1" s="148"/>
      <c r="E1" s="770"/>
      <c r="F1" s="771"/>
    </row>
    <row r="2" spans="1:6" ht="109.5">
      <c r="A2" s="149" t="s">
        <v>741</v>
      </c>
      <c r="B2" s="150" t="s">
        <v>742</v>
      </c>
      <c r="C2" s="983" t="s">
        <v>743</v>
      </c>
      <c r="D2" s="983"/>
      <c r="E2" s="984" t="s">
        <v>744</v>
      </c>
      <c r="F2" s="982" t="s">
        <v>745</v>
      </c>
    </row>
    <row r="3" spans="1:6" s="53" customFormat="1" ht="409.6" customHeight="1">
      <c r="A3" s="1054" t="s">
        <v>1906</v>
      </c>
      <c r="B3" s="1054"/>
      <c r="C3" s="1054"/>
      <c r="D3" s="1054"/>
      <c r="E3" s="1054"/>
      <c r="F3" s="1054"/>
    </row>
    <row r="4" spans="1:6">
      <c r="A4" s="151"/>
      <c r="B4" s="152"/>
      <c r="C4" s="153"/>
      <c r="D4" s="154"/>
      <c r="E4" s="772"/>
      <c r="F4" s="773"/>
    </row>
    <row r="5" spans="1:6">
      <c r="A5" s="559" t="s">
        <v>320</v>
      </c>
      <c r="B5" s="155" t="s">
        <v>746</v>
      </c>
      <c r="C5" s="155"/>
      <c r="D5" s="155"/>
      <c r="E5" s="774"/>
      <c r="F5" s="775"/>
    </row>
    <row r="6" spans="1:6">
      <c r="A6" s="560"/>
      <c r="B6" s="561"/>
      <c r="C6" s="562"/>
      <c r="D6" s="562"/>
      <c r="E6" s="776"/>
      <c r="F6" s="777"/>
    </row>
    <row r="7" spans="1:6" ht="126">
      <c r="A7" s="560" t="s">
        <v>321</v>
      </c>
      <c r="B7" s="563" t="s">
        <v>1458</v>
      </c>
      <c r="C7" s="156" t="s">
        <v>699</v>
      </c>
      <c r="D7" s="157">
        <v>1</v>
      </c>
      <c r="E7" s="778"/>
      <c r="F7" s="779"/>
    </row>
    <row r="8" spans="1:6" ht="63">
      <c r="A8" s="560" t="s">
        <v>322</v>
      </c>
      <c r="B8" s="561" t="s">
        <v>747</v>
      </c>
      <c r="C8" s="562"/>
      <c r="D8" s="562"/>
      <c r="E8" s="776"/>
      <c r="F8" s="777"/>
    </row>
    <row r="9" spans="1:6">
      <c r="A9" s="560"/>
      <c r="B9" s="561" t="s">
        <v>748</v>
      </c>
      <c r="C9" s="564" t="s">
        <v>450</v>
      </c>
      <c r="D9" s="564">
        <v>150</v>
      </c>
      <c r="E9" s="776"/>
      <c r="F9" s="779"/>
    </row>
    <row r="10" spans="1:6" ht="63">
      <c r="A10" s="560" t="s">
        <v>323</v>
      </c>
      <c r="B10" s="561" t="s">
        <v>749</v>
      </c>
      <c r="C10" s="562"/>
      <c r="D10" s="562"/>
      <c r="E10" s="776"/>
      <c r="F10" s="777"/>
    </row>
    <row r="11" spans="1:6">
      <c r="A11" s="758"/>
      <c r="B11" s="158" t="s">
        <v>750</v>
      </c>
      <c r="C11" s="564" t="s">
        <v>450</v>
      </c>
      <c r="D11" s="564">
        <v>75</v>
      </c>
      <c r="E11" s="776"/>
      <c r="F11" s="779"/>
    </row>
    <row r="12" spans="1:6" ht="78.75">
      <c r="A12" s="560" t="s">
        <v>324</v>
      </c>
      <c r="B12" s="565" t="s">
        <v>751</v>
      </c>
      <c r="C12" s="562" t="s">
        <v>390</v>
      </c>
      <c r="D12" s="562">
        <v>1</v>
      </c>
      <c r="E12" s="776"/>
      <c r="F12" s="779"/>
    </row>
    <row r="13" spans="1:6" ht="78.75">
      <c r="A13" s="560" t="s">
        <v>325</v>
      </c>
      <c r="B13" s="565" t="s">
        <v>752</v>
      </c>
      <c r="C13" s="562" t="s">
        <v>390</v>
      </c>
      <c r="D13" s="562">
        <v>1</v>
      </c>
      <c r="E13" s="776"/>
      <c r="F13" s="779"/>
    </row>
    <row r="14" spans="1:6" ht="78.75">
      <c r="A14" s="566">
        <v>1.6</v>
      </c>
      <c r="B14" s="565" t="s">
        <v>753</v>
      </c>
      <c r="C14" s="562" t="s">
        <v>390</v>
      </c>
      <c r="D14" s="562">
        <v>1</v>
      </c>
      <c r="E14" s="776"/>
      <c r="F14" s="779"/>
    </row>
    <row r="15" spans="1:6" ht="78.75">
      <c r="A15" s="560" t="s">
        <v>325</v>
      </c>
      <c r="B15" s="565" t="s">
        <v>754</v>
      </c>
      <c r="C15" s="562" t="s">
        <v>390</v>
      </c>
      <c r="D15" s="562">
        <v>1</v>
      </c>
      <c r="E15" s="776"/>
      <c r="F15" s="779"/>
    </row>
    <row r="16" spans="1:6" ht="63">
      <c r="A16" s="566">
        <v>1.6</v>
      </c>
      <c r="B16" s="561" t="s">
        <v>1459</v>
      </c>
      <c r="C16" s="562"/>
      <c r="D16" s="562"/>
      <c r="E16" s="776"/>
      <c r="F16" s="777"/>
    </row>
    <row r="17" spans="1:6">
      <c r="A17" s="566"/>
      <c r="B17" s="158" t="s">
        <v>1460</v>
      </c>
      <c r="C17" s="562" t="s">
        <v>450</v>
      </c>
      <c r="D17" s="159">
        <v>70</v>
      </c>
      <c r="E17" s="780"/>
      <c r="F17" s="779"/>
    </row>
    <row r="18" spans="1:6" ht="94.5">
      <c r="A18" s="566">
        <v>1.6</v>
      </c>
      <c r="B18" s="561" t="s">
        <v>1461</v>
      </c>
      <c r="C18" s="562"/>
      <c r="D18" s="567"/>
      <c r="E18" s="781"/>
      <c r="F18" s="777"/>
    </row>
    <row r="19" spans="1:6">
      <c r="A19" s="560"/>
      <c r="B19" s="158" t="s">
        <v>1462</v>
      </c>
      <c r="C19" s="562" t="s">
        <v>450</v>
      </c>
      <c r="D19" s="159">
        <v>60</v>
      </c>
      <c r="E19" s="780"/>
      <c r="F19" s="779"/>
    </row>
    <row r="20" spans="1:6">
      <c r="A20" s="560"/>
      <c r="B20" s="158" t="s">
        <v>1463</v>
      </c>
      <c r="C20" s="562" t="s">
        <v>450</v>
      </c>
      <c r="D20" s="159">
        <v>200</v>
      </c>
      <c r="E20" s="780"/>
      <c r="F20" s="779"/>
    </row>
    <row r="21" spans="1:6">
      <c r="A21" s="560"/>
      <c r="B21" s="158" t="s">
        <v>1464</v>
      </c>
      <c r="C21" s="562" t="s">
        <v>450</v>
      </c>
      <c r="D21" s="159">
        <v>120</v>
      </c>
      <c r="E21" s="780"/>
      <c r="F21" s="779"/>
    </row>
    <row r="22" spans="1:6">
      <c r="A22" s="560"/>
      <c r="B22" s="158" t="s">
        <v>1465</v>
      </c>
      <c r="C22" s="562" t="s">
        <v>450</v>
      </c>
      <c r="D22" s="159">
        <v>100</v>
      </c>
      <c r="E22" s="780"/>
      <c r="F22" s="779"/>
    </row>
    <row r="23" spans="1:6" ht="173.25">
      <c r="A23" s="560" t="s">
        <v>326</v>
      </c>
      <c r="B23" s="160" t="s">
        <v>755</v>
      </c>
      <c r="C23" s="156" t="s">
        <v>699</v>
      </c>
      <c r="D23" s="157">
        <v>1</v>
      </c>
      <c r="E23" s="778"/>
      <c r="F23" s="782"/>
    </row>
    <row r="24" spans="1:6" ht="47.25">
      <c r="A24" s="568" t="s">
        <v>327</v>
      </c>
      <c r="B24" s="161" t="s">
        <v>756</v>
      </c>
      <c r="C24" s="569" t="s">
        <v>450</v>
      </c>
      <c r="D24" s="569">
        <v>180</v>
      </c>
      <c r="E24" s="783"/>
      <c r="F24" s="782"/>
    </row>
    <row r="25" spans="1:6">
      <c r="A25" s="162"/>
      <c r="B25" s="163" t="s">
        <v>757</v>
      </c>
      <c r="C25" s="164"/>
      <c r="D25" s="164"/>
      <c r="E25" s="784"/>
      <c r="F25" s="785"/>
    </row>
    <row r="26" spans="1:6">
      <c r="A26" s="570"/>
      <c r="B26" s="571"/>
      <c r="C26" s="572"/>
      <c r="D26" s="572"/>
      <c r="E26" s="786"/>
      <c r="F26" s="787"/>
    </row>
    <row r="27" spans="1:6" ht="31.5">
      <c r="A27" s="165">
        <v>2</v>
      </c>
      <c r="B27" s="166" t="s">
        <v>758</v>
      </c>
      <c r="C27" s="167"/>
      <c r="D27" s="167"/>
      <c r="E27" s="788"/>
      <c r="F27" s="789"/>
    </row>
    <row r="28" spans="1:6">
      <c r="A28" s="168"/>
      <c r="B28" s="169"/>
      <c r="C28" s="170"/>
      <c r="D28" s="170"/>
      <c r="E28" s="790"/>
      <c r="F28" s="791"/>
    </row>
    <row r="29" spans="1:6" ht="78.75">
      <c r="A29" s="573" t="s">
        <v>283</v>
      </c>
      <c r="B29" s="480" t="s">
        <v>759</v>
      </c>
      <c r="C29" s="481"/>
      <c r="D29" s="482"/>
      <c r="E29" s="1056"/>
      <c r="F29" s="1043"/>
    </row>
    <row r="30" spans="1:6">
      <c r="A30" s="573" t="s">
        <v>328</v>
      </c>
      <c r="B30" s="480" t="s">
        <v>760</v>
      </c>
      <c r="C30" s="484"/>
      <c r="D30" s="482"/>
      <c r="E30" s="1044"/>
      <c r="F30" s="1045"/>
    </row>
    <row r="31" spans="1:6" ht="31.5">
      <c r="A31" s="573"/>
      <c r="B31" s="480" t="s">
        <v>761</v>
      </c>
      <c r="C31" s="484"/>
      <c r="D31" s="482"/>
      <c r="E31" s="1044"/>
      <c r="F31" s="1045"/>
    </row>
    <row r="32" spans="1:6" ht="18.600000000000001" customHeight="1">
      <c r="A32" s="573"/>
      <c r="B32" s="480" t="s">
        <v>762</v>
      </c>
      <c r="C32" s="484"/>
      <c r="D32" s="482"/>
      <c r="E32" s="1044"/>
      <c r="F32" s="1045"/>
    </row>
    <row r="33" spans="1:6" ht="47.25">
      <c r="A33" s="573"/>
      <c r="B33" s="480" t="s">
        <v>763</v>
      </c>
      <c r="C33" s="481"/>
      <c r="D33" s="482"/>
      <c r="E33" s="1044"/>
      <c r="F33" s="1045"/>
    </row>
    <row r="34" spans="1:6" ht="47.25">
      <c r="A34" s="573"/>
      <c r="B34" s="480" t="s">
        <v>764</v>
      </c>
      <c r="C34" s="481" t="s">
        <v>622</v>
      </c>
      <c r="D34" s="482">
        <v>1</v>
      </c>
      <c r="E34" s="1044"/>
      <c r="F34" s="1045"/>
    </row>
    <row r="35" spans="1:6" ht="47.25">
      <c r="A35" s="573"/>
      <c r="B35" s="480" t="s">
        <v>765</v>
      </c>
      <c r="C35" s="481" t="s">
        <v>622</v>
      </c>
      <c r="D35" s="482">
        <v>1</v>
      </c>
      <c r="E35" s="1044"/>
      <c r="F35" s="1045"/>
    </row>
    <row r="36" spans="1:6" ht="31.5">
      <c r="A36" s="573"/>
      <c r="B36" s="480" t="s">
        <v>766</v>
      </c>
      <c r="C36" s="481" t="s">
        <v>622</v>
      </c>
      <c r="D36" s="482">
        <v>3</v>
      </c>
      <c r="E36" s="1044"/>
      <c r="F36" s="1045"/>
    </row>
    <row r="37" spans="1:6">
      <c r="A37" s="573"/>
      <c r="B37" s="480" t="s">
        <v>767</v>
      </c>
      <c r="C37" s="481" t="s">
        <v>622</v>
      </c>
      <c r="D37" s="482">
        <v>1</v>
      </c>
      <c r="E37" s="1044"/>
      <c r="F37" s="1045"/>
    </row>
    <row r="38" spans="1:6" ht="94.5">
      <c r="A38" s="573"/>
      <c r="B38" s="480" t="s">
        <v>1378</v>
      </c>
      <c r="C38" s="481" t="s">
        <v>622</v>
      </c>
      <c r="D38" s="482">
        <v>3</v>
      </c>
      <c r="E38" s="1044"/>
      <c r="F38" s="1045"/>
    </row>
    <row r="39" spans="1:6" ht="94.5">
      <c r="A39" s="573"/>
      <c r="B39" s="480" t="s">
        <v>1379</v>
      </c>
      <c r="C39" s="481" t="s">
        <v>622</v>
      </c>
      <c r="D39" s="482">
        <v>3</v>
      </c>
      <c r="E39" s="1044"/>
      <c r="F39" s="1045"/>
    </row>
    <row r="40" spans="1:6" ht="78.75">
      <c r="A40" s="573"/>
      <c r="B40" s="480" t="s">
        <v>1380</v>
      </c>
      <c r="C40" s="481" t="s">
        <v>622</v>
      </c>
      <c r="D40" s="482">
        <v>3</v>
      </c>
      <c r="E40" s="1044"/>
      <c r="F40" s="1045"/>
    </row>
    <row r="41" spans="1:6">
      <c r="A41" s="573"/>
      <c r="B41" s="480" t="s">
        <v>768</v>
      </c>
      <c r="C41" s="481" t="s">
        <v>622</v>
      </c>
      <c r="D41" s="482">
        <v>9</v>
      </c>
      <c r="E41" s="1044"/>
      <c r="F41" s="1045"/>
    </row>
    <row r="42" spans="1:6">
      <c r="A42" s="573"/>
      <c r="B42" s="480" t="s">
        <v>769</v>
      </c>
      <c r="C42" s="481" t="s">
        <v>390</v>
      </c>
      <c r="D42" s="482">
        <v>24</v>
      </c>
      <c r="E42" s="1044"/>
      <c r="F42" s="1045"/>
    </row>
    <row r="43" spans="1:6" ht="18.600000000000001" customHeight="1">
      <c r="A43" s="573"/>
      <c r="B43" s="480" t="s">
        <v>770</v>
      </c>
      <c r="C43" s="481" t="s">
        <v>622</v>
      </c>
      <c r="D43" s="482">
        <v>3</v>
      </c>
      <c r="E43" s="1044"/>
      <c r="F43" s="1045"/>
    </row>
    <row r="44" spans="1:6" ht="64.5" customHeight="1">
      <c r="A44" s="573"/>
      <c r="B44" s="480" t="s">
        <v>1466</v>
      </c>
      <c r="C44" s="481" t="s">
        <v>622</v>
      </c>
      <c r="D44" s="482">
        <v>2</v>
      </c>
      <c r="E44" s="1044"/>
      <c r="F44" s="1045"/>
    </row>
    <row r="45" spans="1:6" ht="31.5">
      <c r="A45" s="573"/>
      <c r="B45" s="480" t="s">
        <v>772</v>
      </c>
      <c r="C45" s="481" t="s">
        <v>450</v>
      </c>
      <c r="D45" s="482">
        <v>4</v>
      </c>
      <c r="E45" s="1046"/>
      <c r="F45" s="1047"/>
    </row>
    <row r="46" spans="1:6" ht="94.5">
      <c r="A46" s="573"/>
      <c r="B46" s="480" t="s">
        <v>773</v>
      </c>
      <c r="C46" s="481" t="s">
        <v>717</v>
      </c>
      <c r="D46" s="482">
        <v>1</v>
      </c>
      <c r="E46" s="793"/>
      <c r="F46" s="794"/>
    </row>
    <row r="47" spans="1:6" ht="94.5">
      <c r="A47" s="573"/>
      <c r="B47" s="480" t="s">
        <v>774</v>
      </c>
      <c r="C47" s="481" t="s">
        <v>390</v>
      </c>
      <c r="D47" s="481">
        <v>1</v>
      </c>
      <c r="E47" s="1057"/>
      <c r="F47" s="1058"/>
    </row>
    <row r="48" spans="1:6">
      <c r="A48" s="573"/>
      <c r="B48" s="481" t="s">
        <v>775</v>
      </c>
      <c r="C48" s="481" t="s">
        <v>390</v>
      </c>
      <c r="D48" s="481">
        <v>3</v>
      </c>
      <c r="E48" s="1059"/>
      <c r="F48" s="1060"/>
    </row>
    <row r="49" spans="1:6" ht="63">
      <c r="A49" s="573"/>
      <c r="B49" s="480" t="s">
        <v>776</v>
      </c>
      <c r="C49" s="481" t="s">
        <v>713</v>
      </c>
      <c r="D49" s="481">
        <v>1</v>
      </c>
      <c r="E49" s="485"/>
      <c r="F49" s="782"/>
    </row>
    <row r="50" spans="1:6">
      <c r="A50" s="573"/>
      <c r="B50" s="485"/>
      <c r="C50" s="481"/>
      <c r="D50" s="481"/>
      <c r="E50" s="1061"/>
      <c r="F50" s="1062"/>
    </row>
    <row r="51" spans="1:6">
      <c r="A51" s="573" t="s">
        <v>329</v>
      </c>
      <c r="B51" s="486" t="s">
        <v>777</v>
      </c>
      <c r="C51" s="487"/>
      <c r="D51" s="487"/>
      <c r="E51" s="1061"/>
      <c r="F51" s="1062"/>
    </row>
    <row r="52" spans="1:6">
      <c r="A52" s="573"/>
      <c r="B52" s="488" t="s">
        <v>778</v>
      </c>
      <c r="C52" s="487"/>
      <c r="D52" s="487"/>
      <c r="E52" s="1061"/>
      <c r="F52" s="1062"/>
    </row>
    <row r="53" spans="1:6" ht="47.25">
      <c r="A53" s="573"/>
      <c r="B53" s="489" t="s">
        <v>779</v>
      </c>
      <c r="C53" s="487" t="s">
        <v>390</v>
      </c>
      <c r="D53" s="487">
        <v>1</v>
      </c>
      <c r="E53" s="1061"/>
      <c r="F53" s="1062"/>
    </row>
    <row r="54" spans="1:6" ht="63">
      <c r="A54" s="573"/>
      <c r="B54" s="489" t="s">
        <v>1467</v>
      </c>
      <c r="C54" s="487" t="s">
        <v>390</v>
      </c>
      <c r="D54" s="487">
        <v>3</v>
      </c>
      <c r="E54" s="1061"/>
      <c r="F54" s="1062"/>
    </row>
    <row r="55" spans="1:6" ht="78.75">
      <c r="A55" s="573"/>
      <c r="B55" s="490" t="s">
        <v>781</v>
      </c>
      <c r="C55" s="487" t="s">
        <v>390</v>
      </c>
      <c r="D55" s="487">
        <v>1</v>
      </c>
      <c r="E55" s="1061"/>
      <c r="F55" s="1062"/>
    </row>
    <row r="56" spans="1:6" ht="63">
      <c r="A56" s="573"/>
      <c r="B56" s="490" t="s">
        <v>782</v>
      </c>
      <c r="C56" s="487" t="s">
        <v>390</v>
      </c>
      <c r="D56" s="487">
        <v>1</v>
      </c>
      <c r="E56" s="1061"/>
      <c r="F56" s="1062"/>
    </row>
    <row r="57" spans="1:6" ht="31.5">
      <c r="A57" s="573"/>
      <c r="B57" s="490" t="s">
        <v>783</v>
      </c>
      <c r="C57" s="487" t="s">
        <v>390</v>
      </c>
      <c r="D57" s="487">
        <v>1</v>
      </c>
      <c r="E57" s="1061"/>
      <c r="F57" s="1062"/>
    </row>
    <row r="58" spans="1:6" ht="94.5">
      <c r="A58" s="573"/>
      <c r="B58" s="490" t="s">
        <v>774</v>
      </c>
      <c r="C58" s="487" t="s">
        <v>390</v>
      </c>
      <c r="D58" s="487">
        <v>1</v>
      </c>
      <c r="E58" s="1061"/>
      <c r="F58" s="1062"/>
    </row>
    <row r="59" spans="1:6">
      <c r="A59" s="573"/>
      <c r="B59" s="490" t="s">
        <v>775</v>
      </c>
      <c r="C59" s="487" t="s">
        <v>390</v>
      </c>
      <c r="D59" s="487">
        <v>3</v>
      </c>
      <c r="E59" s="1059"/>
      <c r="F59" s="1060"/>
    </row>
    <row r="60" spans="1:6" ht="63">
      <c r="A60" s="573"/>
      <c r="B60" s="490" t="s">
        <v>776</v>
      </c>
      <c r="C60" s="487" t="s">
        <v>713</v>
      </c>
      <c r="D60" s="487">
        <v>1</v>
      </c>
      <c r="E60" s="795"/>
      <c r="F60" s="782"/>
    </row>
    <row r="61" spans="1:6">
      <c r="A61" s="573"/>
      <c r="B61" s="491"/>
      <c r="C61" s="487"/>
      <c r="D61" s="487"/>
      <c r="E61" s="795"/>
      <c r="F61" s="796"/>
    </row>
    <row r="62" spans="1:6">
      <c r="A62" s="573" t="s">
        <v>330</v>
      </c>
      <c r="B62" s="486" t="s">
        <v>784</v>
      </c>
      <c r="C62" s="487"/>
      <c r="D62" s="487"/>
      <c r="E62" s="795"/>
      <c r="F62" s="796"/>
    </row>
    <row r="63" spans="1:6" ht="47.25">
      <c r="A63" s="573"/>
      <c r="B63" s="489" t="s">
        <v>779</v>
      </c>
      <c r="C63" s="487" t="s">
        <v>390</v>
      </c>
      <c r="D63" s="487">
        <v>1</v>
      </c>
      <c r="E63" s="1063"/>
      <c r="F63" s="1064"/>
    </row>
    <row r="64" spans="1:6" ht="63">
      <c r="A64" s="573"/>
      <c r="B64" s="489" t="s">
        <v>780</v>
      </c>
      <c r="C64" s="487" t="s">
        <v>390</v>
      </c>
      <c r="D64" s="487">
        <v>3</v>
      </c>
      <c r="E64" s="1065"/>
      <c r="F64" s="1066"/>
    </row>
    <row r="65" spans="1:6" ht="78.75">
      <c r="A65" s="573"/>
      <c r="B65" s="490" t="s">
        <v>781</v>
      </c>
      <c r="C65" s="487" t="s">
        <v>390</v>
      </c>
      <c r="D65" s="487">
        <v>1</v>
      </c>
      <c r="E65" s="1065"/>
      <c r="F65" s="1066"/>
    </row>
    <row r="66" spans="1:6" ht="63">
      <c r="A66" s="573"/>
      <c r="B66" s="490" t="s">
        <v>782</v>
      </c>
      <c r="C66" s="487" t="s">
        <v>390</v>
      </c>
      <c r="D66" s="487">
        <v>1</v>
      </c>
      <c r="E66" s="1065"/>
      <c r="F66" s="1066"/>
    </row>
    <row r="67" spans="1:6" ht="31.5">
      <c r="A67" s="573"/>
      <c r="B67" s="490" t="s">
        <v>783</v>
      </c>
      <c r="C67" s="487" t="s">
        <v>390</v>
      </c>
      <c r="D67" s="487">
        <v>1</v>
      </c>
      <c r="E67" s="1065"/>
      <c r="F67" s="1066"/>
    </row>
    <row r="68" spans="1:6" ht="94.5">
      <c r="A68" s="573"/>
      <c r="B68" s="490" t="s">
        <v>774</v>
      </c>
      <c r="C68" s="487" t="s">
        <v>390</v>
      </c>
      <c r="D68" s="487">
        <v>1</v>
      </c>
      <c r="E68" s="1065"/>
      <c r="F68" s="1066"/>
    </row>
    <row r="69" spans="1:6">
      <c r="A69" s="573"/>
      <c r="B69" s="490" t="s">
        <v>775</v>
      </c>
      <c r="C69" s="487" t="s">
        <v>390</v>
      </c>
      <c r="D69" s="487">
        <v>3</v>
      </c>
      <c r="E69" s="1067"/>
      <c r="F69" s="1068"/>
    </row>
    <row r="70" spans="1:6" ht="63">
      <c r="A70" s="573"/>
      <c r="B70" s="490" t="s">
        <v>776</v>
      </c>
      <c r="C70" s="487" t="s">
        <v>713</v>
      </c>
      <c r="D70" s="487">
        <v>1</v>
      </c>
      <c r="E70" s="795"/>
      <c r="F70" s="782"/>
    </row>
    <row r="71" spans="1:6" ht="94.5">
      <c r="A71" s="573"/>
      <c r="B71" s="490" t="s">
        <v>774</v>
      </c>
      <c r="C71" s="487" t="s">
        <v>390</v>
      </c>
      <c r="D71" s="487">
        <v>1</v>
      </c>
      <c r="E71" s="1065"/>
      <c r="F71" s="1066"/>
    </row>
    <row r="72" spans="1:6">
      <c r="A72" s="573"/>
      <c r="B72" s="490" t="s">
        <v>775</v>
      </c>
      <c r="C72" s="487" t="s">
        <v>390</v>
      </c>
      <c r="D72" s="487">
        <v>3</v>
      </c>
      <c r="E72" s="1067"/>
      <c r="F72" s="1068"/>
    </row>
    <row r="73" spans="1:6" ht="63">
      <c r="A73" s="573"/>
      <c r="B73" s="490" t="s">
        <v>776</v>
      </c>
      <c r="C73" s="487" t="s">
        <v>713</v>
      </c>
      <c r="D73" s="487">
        <v>1</v>
      </c>
      <c r="E73" s="795"/>
      <c r="F73" s="782"/>
    </row>
    <row r="74" spans="1:6">
      <c r="A74" s="573"/>
      <c r="B74" s="490"/>
      <c r="C74" s="487"/>
      <c r="D74" s="487"/>
      <c r="E74" s="795"/>
      <c r="F74" s="796"/>
    </row>
    <row r="75" spans="1:6">
      <c r="A75" s="573" t="s">
        <v>331</v>
      </c>
      <c r="B75" s="486" t="s">
        <v>785</v>
      </c>
      <c r="C75" s="487"/>
      <c r="D75" s="487"/>
      <c r="E75" s="795"/>
      <c r="F75" s="796"/>
    </row>
    <row r="76" spans="1:6">
      <c r="A76" s="573"/>
      <c r="B76" s="488"/>
      <c r="C76" s="487"/>
      <c r="D76" s="487"/>
      <c r="E76" s="795"/>
      <c r="F76" s="796"/>
    </row>
    <row r="77" spans="1:6" ht="63">
      <c r="A77" s="573"/>
      <c r="B77" s="480" t="s">
        <v>1468</v>
      </c>
      <c r="C77" s="481"/>
      <c r="D77" s="482"/>
      <c r="E77" s="1069"/>
      <c r="F77" s="1070"/>
    </row>
    <row r="78" spans="1:6" ht="110.25">
      <c r="A78" s="573"/>
      <c r="B78" s="480" t="s">
        <v>1469</v>
      </c>
      <c r="C78" s="481"/>
      <c r="D78" s="482"/>
      <c r="E78" s="1071"/>
      <c r="F78" s="1072"/>
    </row>
    <row r="79" spans="1:6" ht="78.75">
      <c r="A79" s="573"/>
      <c r="B79" s="480" t="s">
        <v>1470</v>
      </c>
      <c r="C79" s="481"/>
      <c r="D79" s="482"/>
      <c r="E79" s="1071"/>
      <c r="F79" s="1072"/>
    </row>
    <row r="80" spans="1:6" ht="47.25">
      <c r="A80" s="573"/>
      <c r="B80" s="480" t="s">
        <v>1471</v>
      </c>
      <c r="C80" s="481"/>
      <c r="D80" s="482"/>
      <c r="E80" s="1071"/>
      <c r="F80" s="1072"/>
    </row>
    <row r="81" spans="1:6" ht="78.75">
      <c r="A81" s="573"/>
      <c r="B81" s="480" t="s">
        <v>1472</v>
      </c>
      <c r="C81" s="481"/>
      <c r="D81" s="482"/>
      <c r="E81" s="1071"/>
      <c r="F81" s="1072"/>
    </row>
    <row r="82" spans="1:6" ht="47.25">
      <c r="A82" s="573"/>
      <c r="B82" s="480" t="s">
        <v>1473</v>
      </c>
      <c r="C82" s="481" t="s">
        <v>622</v>
      </c>
      <c r="D82" s="482">
        <v>1</v>
      </c>
      <c r="E82" s="1071"/>
      <c r="F82" s="1072"/>
    </row>
    <row r="83" spans="1:6">
      <c r="A83" s="573"/>
      <c r="B83" s="480" t="s">
        <v>1474</v>
      </c>
      <c r="C83" s="481" t="s">
        <v>622</v>
      </c>
      <c r="D83" s="482">
        <v>1</v>
      </c>
      <c r="E83" s="1071"/>
      <c r="F83" s="1072"/>
    </row>
    <row r="84" spans="1:6" ht="31.5">
      <c r="A84" s="573"/>
      <c r="B84" s="480" t="s">
        <v>1475</v>
      </c>
      <c r="C84" s="481" t="s">
        <v>622</v>
      </c>
      <c r="D84" s="482">
        <v>3</v>
      </c>
      <c r="E84" s="1071"/>
      <c r="F84" s="1072"/>
    </row>
    <row r="85" spans="1:6" ht="31.5">
      <c r="A85" s="573"/>
      <c r="B85" s="480" t="s">
        <v>1476</v>
      </c>
      <c r="C85" s="481" t="s">
        <v>622</v>
      </c>
      <c r="D85" s="482">
        <v>5</v>
      </c>
      <c r="E85" s="1071"/>
      <c r="F85" s="1072"/>
    </row>
    <row r="86" spans="1:6" ht="31.5">
      <c r="A86" s="573"/>
      <c r="B86" s="480" t="s">
        <v>1477</v>
      </c>
      <c r="C86" s="481" t="s">
        <v>622</v>
      </c>
      <c r="D86" s="482">
        <v>6</v>
      </c>
      <c r="E86" s="1071"/>
      <c r="F86" s="1072"/>
    </row>
    <row r="87" spans="1:6" ht="63">
      <c r="A87" s="573"/>
      <c r="B87" s="480" t="s">
        <v>771</v>
      </c>
      <c r="C87" s="481" t="s">
        <v>622</v>
      </c>
      <c r="D87" s="482">
        <v>2</v>
      </c>
      <c r="E87" s="1071"/>
      <c r="F87" s="1072"/>
    </row>
    <row r="88" spans="1:6" ht="31.5">
      <c r="A88" s="573"/>
      <c r="B88" s="480" t="s">
        <v>772</v>
      </c>
      <c r="C88" s="481" t="s">
        <v>450</v>
      </c>
      <c r="D88" s="482">
        <v>4</v>
      </c>
      <c r="E88" s="1071"/>
      <c r="F88" s="1072"/>
    </row>
    <row r="89" spans="1:6" ht="94.5">
      <c r="A89" s="573"/>
      <c r="B89" s="480" t="s">
        <v>773</v>
      </c>
      <c r="C89" s="481"/>
      <c r="D89" s="482"/>
      <c r="E89" s="1073"/>
      <c r="F89" s="1074"/>
    </row>
    <row r="90" spans="1:6">
      <c r="A90" s="573"/>
      <c r="B90" s="482"/>
      <c r="C90" s="482" t="s">
        <v>717</v>
      </c>
      <c r="D90" s="482">
        <v>1</v>
      </c>
      <c r="E90" s="793"/>
      <c r="F90" s="797"/>
    </row>
    <row r="91" spans="1:6">
      <c r="A91" s="573"/>
      <c r="B91" s="482"/>
      <c r="C91" s="482"/>
      <c r="D91" s="482"/>
      <c r="E91" s="793"/>
      <c r="F91" s="794"/>
    </row>
    <row r="92" spans="1:6">
      <c r="A92" s="573"/>
      <c r="B92" s="480"/>
      <c r="C92" s="481"/>
      <c r="D92" s="482"/>
      <c r="E92" s="793"/>
      <c r="F92" s="794"/>
    </row>
    <row r="93" spans="1:6" ht="78.75">
      <c r="A93" s="573" t="s">
        <v>332</v>
      </c>
      <c r="B93" s="492" t="s">
        <v>786</v>
      </c>
      <c r="C93" s="493"/>
      <c r="D93" s="493"/>
      <c r="E93" s="1036"/>
      <c r="F93" s="1037"/>
    </row>
    <row r="94" spans="1:6" ht="31.5">
      <c r="A94" s="573"/>
      <c r="B94" s="480" t="s">
        <v>787</v>
      </c>
      <c r="C94" s="493"/>
      <c r="D94" s="493"/>
      <c r="E94" s="1038"/>
      <c r="F94" s="1039"/>
    </row>
    <row r="95" spans="1:6">
      <c r="A95" s="573"/>
      <c r="B95" s="492" t="s">
        <v>1478</v>
      </c>
      <c r="C95" s="493"/>
      <c r="D95" s="493"/>
      <c r="E95" s="1038"/>
      <c r="F95" s="1039"/>
    </row>
    <row r="96" spans="1:6" ht="31.5">
      <c r="A96" s="573"/>
      <c r="B96" s="492" t="s">
        <v>789</v>
      </c>
      <c r="C96" s="493"/>
      <c r="D96" s="493"/>
      <c r="E96" s="1038"/>
      <c r="F96" s="1039"/>
    </row>
    <row r="97" spans="1:6" ht="94.5">
      <c r="A97" s="573"/>
      <c r="B97" s="492" t="s">
        <v>1479</v>
      </c>
      <c r="C97" s="493"/>
      <c r="D97" s="493"/>
      <c r="E97" s="1038"/>
      <c r="F97" s="1039"/>
    </row>
    <row r="98" spans="1:6" ht="78.75">
      <c r="A98" s="573"/>
      <c r="B98" s="492" t="s">
        <v>1480</v>
      </c>
      <c r="C98" s="493"/>
      <c r="D98" s="493"/>
      <c r="E98" s="1038"/>
      <c r="F98" s="1039"/>
    </row>
    <row r="99" spans="1:6" ht="47.25">
      <c r="A99" s="573"/>
      <c r="B99" s="492" t="s">
        <v>1471</v>
      </c>
      <c r="C99" s="493"/>
      <c r="D99" s="493"/>
      <c r="E99" s="1038"/>
      <c r="F99" s="1039"/>
    </row>
    <row r="100" spans="1:6" ht="78.75">
      <c r="A100" s="573"/>
      <c r="B100" s="492" t="s">
        <v>1481</v>
      </c>
      <c r="C100" s="494"/>
      <c r="D100" s="494"/>
      <c r="E100" s="1038"/>
      <c r="F100" s="1039"/>
    </row>
    <row r="101" spans="1:6" ht="31.5">
      <c r="A101" s="573"/>
      <c r="B101" s="492" t="s">
        <v>1482</v>
      </c>
      <c r="C101" s="494" t="s">
        <v>622</v>
      </c>
      <c r="D101" s="494">
        <v>1</v>
      </c>
      <c r="E101" s="1038"/>
      <c r="F101" s="1039"/>
    </row>
    <row r="102" spans="1:6" ht="47.25">
      <c r="A102" s="573"/>
      <c r="B102" s="492" t="s">
        <v>1483</v>
      </c>
      <c r="C102" s="494" t="s">
        <v>622</v>
      </c>
      <c r="D102" s="494">
        <v>1</v>
      </c>
      <c r="E102" s="1038"/>
      <c r="F102" s="1039"/>
    </row>
    <row r="103" spans="1:6" ht="31.5">
      <c r="A103" s="573"/>
      <c r="B103" s="492" t="s">
        <v>1484</v>
      </c>
      <c r="C103" s="494" t="s">
        <v>622</v>
      </c>
      <c r="D103" s="494">
        <v>1</v>
      </c>
      <c r="E103" s="1038"/>
      <c r="F103" s="1039"/>
    </row>
    <row r="104" spans="1:6">
      <c r="A104" s="573"/>
      <c r="B104" s="480" t="s">
        <v>768</v>
      </c>
      <c r="C104" s="481" t="s">
        <v>622</v>
      </c>
      <c r="D104" s="482">
        <v>7</v>
      </c>
      <c r="E104" s="1038"/>
      <c r="F104" s="1039"/>
    </row>
    <row r="105" spans="1:6">
      <c r="A105" s="573"/>
      <c r="B105" s="480" t="s">
        <v>1485</v>
      </c>
      <c r="C105" s="481" t="s">
        <v>390</v>
      </c>
      <c r="D105" s="482">
        <v>13</v>
      </c>
      <c r="E105" s="1038"/>
      <c r="F105" s="1039"/>
    </row>
    <row r="106" spans="1:6">
      <c r="A106" s="573"/>
      <c r="B106" s="480" t="s">
        <v>769</v>
      </c>
      <c r="C106" s="481" t="s">
        <v>390</v>
      </c>
      <c r="D106" s="482">
        <v>52</v>
      </c>
      <c r="E106" s="1038"/>
      <c r="F106" s="1039"/>
    </row>
    <row r="107" spans="1:6">
      <c r="A107" s="573"/>
      <c r="B107" s="489" t="s">
        <v>790</v>
      </c>
      <c r="C107" s="487" t="s">
        <v>390</v>
      </c>
      <c r="D107" s="487">
        <v>10</v>
      </c>
      <c r="E107" s="1038"/>
      <c r="F107" s="1039"/>
    </row>
    <row r="108" spans="1:6" ht="63">
      <c r="A108" s="573"/>
      <c r="B108" s="492" t="s">
        <v>1466</v>
      </c>
      <c r="C108" s="481" t="s">
        <v>622</v>
      </c>
      <c r="D108" s="482">
        <v>2</v>
      </c>
      <c r="E108" s="1038"/>
      <c r="F108" s="1039"/>
    </row>
    <row r="109" spans="1:6">
      <c r="A109" s="573"/>
      <c r="B109" s="491"/>
      <c r="C109" s="487"/>
      <c r="D109" s="487"/>
      <c r="E109" s="1038"/>
      <c r="F109" s="1039"/>
    </row>
    <row r="110" spans="1:6" ht="78.75">
      <c r="A110" s="573"/>
      <c r="B110" s="491" t="s">
        <v>1486</v>
      </c>
      <c r="C110" s="487" t="s">
        <v>713</v>
      </c>
      <c r="D110" s="487">
        <v>1</v>
      </c>
      <c r="E110" s="1038"/>
      <c r="F110" s="1039"/>
    </row>
    <row r="111" spans="1:6">
      <c r="A111" s="573"/>
      <c r="B111" s="491" t="s">
        <v>792</v>
      </c>
      <c r="C111" s="487" t="s">
        <v>713</v>
      </c>
      <c r="D111" s="487">
        <v>1</v>
      </c>
      <c r="E111" s="1040"/>
      <c r="F111" s="1041"/>
    </row>
    <row r="112" spans="1:6" ht="63">
      <c r="A112" s="573"/>
      <c r="B112" s="491" t="s">
        <v>1487</v>
      </c>
      <c r="C112" s="487" t="s">
        <v>390</v>
      </c>
      <c r="D112" s="487">
        <v>1</v>
      </c>
      <c r="E112" s="793"/>
      <c r="F112" s="797"/>
    </row>
    <row r="113" spans="1:6">
      <c r="A113" s="573"/>
      <c r="B113" s="491"/>
      <c r="C113" s="487"/>
      <c r="D113" s="487"/>
      <c r="E113" s="793"/>
      <c r="F113" s="797"/>
    </row>
    <row r="114" spans="1:6" ht="78.75">
      <c r="A114" s="573" t="s">
        <v>333</v>
      </c>
      <c r="B114" s="492" t="s">
        <v>793</v>
      </c>
      <c r="C114" s="493"/>
      <c r="D114" s="493"/>
      <c r="E114" s="1036"/>
      <c r="F114" s="1037"/>
    </row>
    <row r="115" spans="1:6" ht="31.5">
      <c r="A115" s="573"/>
      <c r="B115" s="480" t="s">
        <v>787</v>
      </c>
      <c r="C115" s="493"/>
      <c r="D115" s="493"/>
      <c r="E115" s="1038"/>
      <c r="F115" s="1039"/>
    </row>
    <row r="116" spans="1:6" ht="47.25">
      <c r="A116" s="573"/>
      <c r="B116" s="492" t="s">
        <v>788</v>
      </c>
      <c r="C116" s="493"/>
      <c r="D116" s="493"/>
      <c r="E116" s="1038"/>
      <c r="F116" s="1039"/>
    </row>
    <row r="117" spans="1:6" ht="31.5">
      <c r="A117" s="573"/>
      <c r="B117" s="492" t="s">
        <v>789</v>
      </c>
      <c r="C117" s="493"/>
      <c r="D117" s="493"/>
      <c r="E117" s="1038"/>
      <c r="F117" s="1039"/>
    </row>
    <row r="118" spans="1:6" ht="94.5">
      <c r="A118" s="573"/>
      <c r="B118" s="492" t="s">
        <v>1488</v>
      </c>
      <c r="C118" s="493"/>
      <c r="D118" s="493"/>
      <c r="E118" s="1038"/>
      <c r="F118" s="1039"/>
    </row>
    <row r="119" spans="1:6" ht="78.75">
      <c r="A119" s="573"/>
      <c r="B119" s="492" t="s">
        <v>1489</v>
      </c>
      <c r="C119" s="493"/>
      <c r="D119" s="493"/>
      <c r="E119" s="1038"/>
      <c r="F119" s="1039"/>
    </row>
    <row r="120" spans="1:6" ht="47.25">
      <c r="A120" s="573"/>
      <c r="B120" s="492" t="s">
        <v>1490</v>
      </c>
      <c r="C120" s="493"/>
      <c r="D120" s="493"/>
      <c r="E120" s="1038"/>
      <c r="F120" s="1039"/>
    </row>
    <row r="121" spans="1:6" ht="78.75">
      <c r="A121" s="573"/>
      <c r="B121" s="492" t="s">
        <v>1491</v>
      </c>
      <c r="C121" s="494"/>
      <c r="D121" s="494"/>
      <c r="E121" s="1038"/>
      <c r="F121" s="1039"/>
    </row>
    <row r="122" spans="1:6" ht="31.5">
      <c r="A122" s="573"/>
      <c r="B122" s="492" t="s">
        <v>1482</v>
      </c>
      <c r="C122" s="494" t="s">
        <v>622</v>
      </c>
      <c r="D122" s="494">
        <v>1</v>
      </c>
      <c r="E122" s="1038"/>
      <c r="F122" s="1039"/>
    </row>
    <row r="123" spans="1:6" ht="47.25">
      <c r="A123" s="573"/>
      <c r="B123" s="492" t="s">
        <v>1483</v>
      </c>
      <c r="C123" s="494" t="s">
        <v>622</v>
      </c>
      <c r="D123" s="494">
        <v>1</v>
      </c>
      <c r="E123" s="1038"/>
      <c r="F123" s="1039"/>
    </row>
    <row r="124" spans="1:6" ht="31.5">
      <c r="A124" s="573"/>
      <c r="B124" s="492" t="s">
        <v>1492</v>
      </c>
      <c r="C124" s="494" t="s">
        <v>622</v>
      </c>
      <c r="D124" s="494">
        <v>1</v>
      </c>
      <c r="E124" s="1038"/>
      <c r="F124" s="1039"/>
    </row>
    <row r="125" spans="1:6">
      <c r="A125" s="573"/>
      <c r="B125" s="480" t="s">
        <v>768</v>
      </c>
      <c r="C125" s="481" t="s">
        <v>622</v>
      </c>
      <c r="D125" s="482">
        <v>7</v>
      </c>
      <c r="E125" s="1038"/>
      <c r="F125" s="1039"/>
    </row>
    <row r="126" spans="1:6">
      <c r="A126" s="573"/>
      <c r="B126" s="480" t="s">
        <v>1485</v>
      </c>
      <c r="C126" s="481" t="s">
        <v>390</v>
      </c>
      <c r="D126" s="482">
        <v>7</v>
      </c>
      <c r="E126" s="1038"/>
      <c r="F126" s="1039"/>
    </row>
    <row r="127" spans="1:6">
      <c r="A127" s="573"/>
      <c r="B127" s="480" t="s">
        <v>769</v>
      </c>
      <c r="C127" s="481" t="s">
        <v>390</v>
      </c>
      <c r="D127" s="482">
        <v>28</v>
      </c>
      <c r="E127" s="1038"/>
      <c r="F127" s="1039"/>
    </row>
    <row r="128" spans="1:6">
      <c r="A128" s="573"/>
      <c r="B128" s="489" t="s">
        <v>790</v>
      </c>
      <c r="C128" s="487" t="s">
        <v>390</v>
      </c>
      <c r="D128" s="482">
        <v>6</v>
      </c>
      <c r="E128" s="1038"/>
      <c r="F128" s="1039"/>
    </row>
    <row r="129" spans="1:6" ht="63">
      <c r="A129" s="573"/>
      <c r="B129" s="492" t="s">
        <v>1493</v>
      </c>
      <c r="C129" s="481" t="s">
        <v>622</v>
      </c>
      <c r="D129" s="482">
        <v>2</v>
      </c>
      <c r="E129" s="1038"/>
      <c r="F129" s="1039"/>
    </row>
    <row r="130" spans="1:6">
      <c r="A130" s="573"/>
      <c r="B130" s="491"/>
      <c r="C130" s="487"/>
      <c r="D130" s="487"/>
      <c r="E130" s="1038"/>
      <c r="F130" s="1039"/>
    </row>
    <row r="131" spans="1:6" ht="78.75">
      <c r="A131" s="573"/>
      <c r="B131" s="491" t="s">
        <v>1486</v>
      </c>
      <c r="C131" s="487" t="s">
        <v>713</v>
      </c>
      <c r="D131" s="487">
        <v>1</v>
      </c>
      <c r="E131" s="1038"/>
      <c r="F131" s="1039"/>
    </row>
    <row r="132" spans="1:6">
      <c r="A132" s="573"/>
      <c r="B132" s="491" t="s">
        <v>792</v>
      </c>
      <c r="C132" s="487" t="s">
        <v>713</v>
      </c>
      <c r="D132" s="487">
        <v>1</v>
      </c>
      <c r="E132" s="1040"/>
      <c r="F132" s="1041"/>
    </row>
    <row r="133" spans="1:6" ht="63">
      <c r="A133" s="573"/>
      <c r="B133" s="491" t="s">
        <v>776</v>
      </c>
      <c r="C133" s="487" t="s">
        <v>390</v>
      </c>
      <c r="D133" s="487">
        <v>1</v>
      </c>
      <c r="E133" s="793"/>
      <c r="F133" s="797"/>
    </row>
    <row r="134" spans="1:6">
      <c r="A134" s="573"/>
      <c r="B134" s="491"/>
      <c r="C134" s="487"/>
      <c r="D134" s="487"/>
      <c r="E134" s="793"/>
      <c r="F134" s="797"/>
    </row>
    <row r="135" spans="1:6" ht="78.75">
      <c r="A135" s="573" t="s">
        <v>334</v>
      </c>
      <c r="B135" s="492" t="s">
        <v>794</v>
      </c>
      <c r="C135" s="493"/>
      <c r="D135" s="493"/>
      <c r="E135" s="1036"/>
      <c r="F135" s="1037"/>
    </row>
    <row r="136" spans="1:6" ht="31.5">
      <c r="A136" s="573"/>
      <c r="B136" s="480" t="s">
        <v>787</v>
      </c>
      <c r="C136" s="493"/>
      <c r="D136" s="493"/>
      <c r="E136" s="1038"/>
      <c r="F136" s="1039"/>
    </row>
    <row r="137" spans="1:6" ht="47.25">
      <c r="A137" s="573"/>
      <c r="B137" s="492" t="s">
        <v>1494</v>
      </c>
      <c r="C137" s="493"/>
      <c r="D137" s="493"/>
      <c r="E137" s="1038"/>
      <c r="F137" s="1039"/>
    </row>
    <row r="138" spans="1:6" ht="31.5">
      <c r="A138" s="573"/>
      <c r="B138" s="492" t="s">
        <v>789</v>
      </c>
      <c r="C138" s="493"/>
      <c r="D138" s="493"/>
      <c r="E138" s="1038"/>
      <c r="F138" s="1039"/>
    </row>
    <row r="139" spans="1:6" ht="94.5">
      <c r="A139" s="573"/>
      <c r="B139" s="492" t="s">
        <v>1495</v>
      </c>
      <c r="C139" s="493"/>
      <c r="D139" s="493"/>
      <c r="E139" s="1038"/>
      <c r="F139" s="1039"/>
    </row>
    <row r="140" spans="1:6" ht="78.75">
      <c r="A140" s="573"/>
      <c r="B140" s="492" t="s">
        <v>1496</v>
      </c>
      <c r="C140" s="493"/>
      <c r="D140" s="493"/>
      <c r="E140" s="1038"/>
      <c r="F140" s="1039"/>
    </row>
    <row r="141" spans="1:6" ht="47.25">
      <c r="A141" s="573"/>
      <c r="B141" s="492" t="s">
        <v>1471</v>
      </c>
      <c r="C141" s="493"/>
      <c r="D141" s="493"/>
      <c r="E141" s="1038"/>
      <c r="F141" s="1039"/>
    </row>
    <row r="142" spans="1:6" ht="78.75">
      <c r="A142" s="573"/>
      <c r="B142" s="492" t="s">
        <v>1497</v>
      </c>
      <c r="C142" s="494"/>
      <c r="D142" s="494"/>
      <c r="E142" s="1038"/>
      <c r="F142" s="1039"/>
    </row>
    <row r="143" spans="1:6" ht="47.25">
      <c r="A143" s="573"/>
      <c r="B143" s="492" t="s">
        <v>1498</v>
      </c>
      <c r="C143" s="494" t="s">
        <v>622</v>
      </c>
      <c r="D143" s="494">
        <v>1</v>
      </c>
      <c r="E143" s="1038"/>
      <c r="F143" s="1039"/>
    </row>
    <row r="144" spans="1:6" ht="47.25">
      <c r="A144" s="573"/>
      <c r="B144" s="492" t="s">
        <v>1483</v>
      </c>
      <c r="C144" s="494" t="s">
        <v>622</v>
      </c>
      <c r="D144" s="494">
        <v>1</v>
      </c>
      <c r="E144" s="1038"/>
      <c r="F144" s="1039"/>
    </row>
    <row r="145" spans="1:6" ht="31.5">
      <c r="A145" s="573"/>
      <c r="B145" s="492" t="s">
        <v>1484</v>
      </c>
      <c r="C145" s="494" t="s">
        <v>622</v>
      </c>
      <c r="D145" s="494">
        <v>1</v>
      </c>
      <c r="E145" s="1038"/>
      <c r="F145" s="1039"/>
    </row>
    <row r="146" spans="1:6">
      <c r="A146" s="573"/>
      <c r="B146" s="480" t="s">
        <v>768</v>
      </c>
      <c r="C146" s="481" t="s">
        <v>622</v>
      </c>
      <c r="D146" s="482">
        <v>7</v>
      </c>
      <c r="E146" s="1038"/>
      <c r="F146" s="1039"/>
    </row>
    <row r="147" spans="1:6">
      <c r="A147" s="573"/>
      <c r="B147" s="480" t="s">
        <v>1485</v>
      </c>
      <c r="C147" s="481" t="s">
        <v>390</v>
      </c>
      <c r="D147" s="482">
        <v>13</v>
      </c>
      <c r="E147" s="1038"/>
      <c r="F147" s="1039"/>
    </row>
    <row r="148" spans="1:6">
      <c r="A148" s="573"/>
      <c r="B148" s="480" t="s">
        <v>769</v>
      </c>
      <c r="C148" s="481" t="s">
        <v>390</v>
      </c>
      <c r="D148" s="482">
        <v>58</v>
      </c>
      <c r="E148" s="1038"/>
      <c r="F148" s="1039"/>
    </row>
    <row r="149" spans="1:6">
      <c r="A149" s="573"/>
      <c r="B149" s="489" t="s">
        <v>790</v>
      </c>
      <c r="C149" s="487" t="s">
        <v>390</v>
      </c>
      <c r="D149" s="482">
        <v>18</v>
      </c>
      <c r="E149" s="1038"/>
      <c r="F149" s="1039"/>
    </row>
    <row r="150" spans="1:6" ht="63">
      <c r="A150" s="573"/>
      <c r="B150" s="492" t="s">
        <v>1466</v>
      </c>
      <c r="C150" s="481" t="s">
        <v>622</v>
      </c>
      <c r="D150" s="482">
        <v>2</v>
      </c>
      <c r="E150" s="1038"/>
      <c r="F150" s="1039"/>
    </row>
    <row r="151" spans="1:6">
      <c r="A151" s="573"/>
      <c r="B151" s="491"/>
      <c r="C151" s="487"/>
      <c r="D151" s="487"/>
      <c r="E151" s="1038"/>
      <c r="F151" s="1039"/>
    </row>
    <row r="152" spans="1:6" ht="78.75">
      <c r="A152" s="573"/>
      <c r="B152" s="491" t="s">
        <v>1499</v>
      </c>
      <c r="C152" s="487" t="s">
        <v>713</v>
      </c>
      <c r="D152" s="487">
        <v>1</v>
      </c>
      <c r="E152" s="1038"/>
      <c r="F152" s="1039"/>
    </row>
    <row r="153" spans="1:6">
      <c r="A153" s="573"/>
      <c r="B153" s="491" t="s">
        <v>792</v>
      </c>
      <c r="C153" s="487" t="s">
        <v>713</v>
      </c>
      <c r="D153" s="487">
        <v>1</v>
      </c>
      <c r="E153" s="1040"/>
      <c r="F153" s="1041"/>
    </row>
    <row r="154" spans="1:6" ht="63">
      <c r="A154" s="573"/>
      <c r="B154" s="491" t="s">
        <v>776</v>
      </c>
      <c r="C154" s="487" t="s">
        <v>390</v>
      </c>
      <c r="D154" s="487">
        <v>1</v>
      </c>
      <c r="E154" s="793"/>
      <c r="F154" s="797"/>
    </row>
    <row r="155" spans="1:6">
      <c r="A155" s="573"/>
      <c r="B155" s="491"/>
      <c r="C155" s="487"/>
      <c r="D155" s="487"/>
      <c r="E155" s="793"/>
      <c r="F155" s="797"/>
    </row>
    <row r="156" spans="1:6" ht="78.75">
      <c r="A156" s="573" t="s">
        <v>335</v>
      </c>
      <c r="B156" s="492" t="s">
        <v>795</v>
      </c>
      <c r="C156" s="493"/>
      <c r="D156" s="493"/>
      <c r="E156" s="1036"/>
      <c r="F156" s="1037"/>
    </row>
    <row r="157" spans="1:6" ht="31.5">
      <c r="A157" s="573"/>
      <c r="B157" s="480" t="s">
        <v>787</v>
      </c>
      <c r="C157" s="493"/>
      <c r="D157" s="493"/>
      <c r="E157" s="1038"/>
      <c r="F157" s="1039"/>
    </row>
    <row r="158" spans="1:6" ht="47.25">
      <c r="A158" s="573"/>
      <c r="B158" s="492" t="s">
        <v>1500</v>
      </c>
      <c r="C158" s="493"/>
      <c r="D158" s="493"/>
      <c r="E158" s="1038"/>
      <c r="F158" s="1039"/>
    </row>
    <row r="159" spans="1:6" ht="31.5">
      <c r="A159" s="573"/>
      <c r="B159" s="492" t="s">
        <v>789</v>
      </c>
      <c r="C159" s="493"/>
      <c r="D159" s="493"/>
      <c r="E159" s="1038"/>
      <c r="F159" s="1039"/>
    </row>
    <row r="160" spans="1:6" ht="94.5">
      <c r="A160" s="573"/>
      <c r="B160" s="492" t="s">
        <v>1501</v>
      </c>
      <c r="C160" s="493"/>
      <c r="D160" s="493"/>
      <c r="E160" s="1038"/>
      <c r="F160" s="1039"/>
    </row>
    <row r="161" spans="1:6" ht="78.75">
      <c r="A161" s="573"/>
      <c r="B161" s="492" t="s">
        <v>1502</v>
      </c>
      <c r="C161" s="493"/>
      <c r="D161" s="493"/>
      <c r="E161" s="1038"/>
      <c r="F161" s="1039"/>
    </row>
    <row r="162" spans="1:6" ht="47.25">
      <c r="A162" s="573"/>
      <c r="B162" s="492" t="s">
        <v>1490</v>
      </c>
      <c r="C162" s="493"/>
      <c r="D162" s="493"/>
      <c r="E162" s="1038"/>
      <c r="F162" s="1039"/>
    </row>
    <row r="163" spans="1:6" ht="78.75">
      <c r="A163" s="573"/>
      <c r="B163" s="492" t="s">
        <v>1503</v>
      </c>
      <c r="C163" s="494"/>
      <c r="D163" s="494"/>
      <c r="E163" s="1038"/>
      <c r="F163" s="1039"/>
    </row>
    <row r="164" spans="1:6" ht="31.5">
      <c r="A164" s="573"/>
      <c r="B164" s="492" t="s">
        <v>1482</v>
      </c>
      <c r="C164" s="494" t="s">
        <v>622</v>
      </c>
      <c r="D164" s="494">
        <v>1</v>
      </c>
      <c r="E164" s="1038"/>
      <c r="F164" s="1039"/>
    </row>
    <row r="165" spans="1:6" ht="47.25">
      <c r="A165" s="573"/>
      <c r="B165" s="492" t="s">
        <v>1483</v>
      </c>
      <c r="C165" s="494" t="s">
        <v>622</v>
      </c>
      <c r="D165" s="494">
        <v>1</v>
      </c>
      <c r="E165" s="1038"/>
      <c r="F165" s="1039"/>
    </row>
    <row r="166" spans="1:6" ht="31.5">
      <c r="A166" s="573"/>
      <c r="B166" s="492" t="s">
        <v>1484</v>
      </c>
      <c r="C166" s="494" t="s">
        <v>622</v>
      </c>
      <c r="D166" s="494">
        <v>1</v>
      </c>
      <c r="E166" s="1038"/>
      <c r="F166" s="1039"/>
    </row>
    <row r="167" spans="1:6">
      <c r="A167" s="573"/>
      <c r="B167" s="480" t="s">
        <v>768</v>
      </c>
      <c r="C167" s="481" t="s">
        <v>622</v>
      </c>
      <c r="D167" s="482">
        <v>7</v>
      </c>
      <c r="E167" s="1038"/>
      <c r="F167" s="1039"/>
    </row>
    <row r="168" spans="1:6">
      <c r="A168" s="573"/>
      <c r="B168" s="480" t="s">
        <v>1485</v>
      </c>
      <c r="C168" s="481" t="s">
        <v>390</v>
      </c>
      <c r="D168" s="482">
        <v>19</v>
      </c>
      <c r="E168" s="1038"/>
      <c r="F168" s="1039"/>
    </row>
    <row r="169" spans="1:6">
      <c r="A169" s="573"/>
      <c r="B169" s="480" t="s">
        <v>769</v>
      </c>
      <c r="C169" s="481" t="s">
        <v>390</v>
      </c>
      <c r="D169" s="482">
        <v>64</v>
      </c>
      <c r="E169" s="1038"/>
      <c r="F169" s="1039"/>
    </row>
    <row r="170" spans="1:6">
      <c r="A170" s="573"/>
      <c r="B170" s="489" t="s">
        <v>790</v>
      </c>
      <c r="C170" s="487" t="s">
        <v>390</v>
      </c>
      <c r="D170" s="482">
        <v>6</v>
      </c>
      <c r="E170" s="1038"/>
      <c r="F170" s="1039"/>
    </row>
    <row r="171" spans="1:6" ht="63">
      <c r="A171" s="573"/>
      <c r="B171" s="495" t="s">
        <v>1504</v>
      </c>
      <c r="C171" s="481" t="s">
        <v>622</v>
      </c>
      <c r="D171" s="482">
        <v>2</v>
      </c>
      <c r="E171" s="1038"/>
      <c r="F171" s="1039"/>
    </row>
    <row r="172" spans="1:6">
      <c r="A172" s="573"/>
      <c r="B172" s="491"/>
      <c r="C172" s="487"/>
      <c r="D172" s="487"/>
      <c r="E172" s="1038"/>
      <c r="F172" s="1039"/>
    </row>
    <row r="173" spans="1:6" ht="78.75">
      <c r="A173" s="573"/>
      <c r="B173" s="496" t="s">
        <v>1505</v>
      </c>
      <c r="C173" s="487" t="s">
        <v>713</v>
      </c>
      <c r="D173" s="487">
        <v>1</v>
      </c>
      <c r="E173" s="1038"/>
      <c r="F173" s="1039"/>
    </row>
    <row r="174" spans="1:6">
      <c r="A174" s="573"/>
      <c r="B174" s="491" t="s">
        <v>792</v>
      </c>
      <c r="C174" s="487" t="s">
        <v>713</v>
      </c>
      <c r="D174" s="487">
        <v>1</v>
      </c>
      <c r="E174" s="1040"/>
      <c r="F174" s="1041"/>
    </row>
    <row r="175" spans="1:6" ht="63">
      <c r="A175" s="573"/>
      <c r="B175" s="496" t="s">
        <v>776</v>
      </c>
      <c r="C175" s="487" t="s">
        <v>390</v>
      </c>
      <c r="D175" s="487">
        <v>1</v>
      </c>
      <c r="E175" s="793"/>
      <c r="F175" s="797"/>
    </row>
    <row r="176" spans="1:6">
      <c r="A176" s="573"/>
      <c r="B176" s="491"/>
      <c r="C176" s="487"/>
      <c r="D176" s="487"/>
      <c r="E176" s="793"/>
      <c r="F176" s="797"/>
    </row>
    <row r="177" spans="1:6" ht="78.75">
      <c r="A177" s="573" t="s">
        <v>336</v>
      </c>
      <c r="B177" s="492" t="s">
        <v>796</v>
      </c>
      <c r="C177" s="493"/>
      <c r="D177" s="493"/>
      <c r="E177" s="1036"/>
      <c r="F177" s="1037"/>
    </row>
    <row r="178" spans="1:6" ht="31.5">
      <c r="A178" s="573"/>
      <c r="B178" s="480" t="s">
        <v>787</v>
      </c>
      <c r="C178" s="493"/>
      <c r="D178" s="493"/>
      <c r="E178" s="1038"/>
      <c r="F178" s="1039"/>
    </row>
    <row r="179" spans="1:6" ht="47.25">
      <c r="A179" s="573"/>
      <c r="B179" s="492" t="s">
        <v>1506</v>
      </c>
      <c r="C179" s="493"/>
      <c r="D179" s="493"/>
      <c r="E179" s="1038"/>
      <c r="F179" s="1039"/>
    </row>
    <row r="180" spans="1:6" ht="31.5">
      <c r="A180" s="573"/>
      <c r="B180" s="492" t="s">
        <v>789</v>
      </c>
      <c r="C180" s="493"/>
      <c r="D180" s="493"/>
      <c r="E180" s="1038"/>
      <c r="F180" s="1039"/>
    </row>
    <row r="181" spans="1:6" ht="94.5">
      <c r="A181" s="573"/>
      <c r="B181" s="492" t="s">
        <v>1507</v>
      </c>
      <c r="C181" s="493"/>
      <c r="D181" s="493"/>
      <c r="E181" s="1038"/>
      <c r="F181" s="1039"/>
    </row>
    <row r="182" spans="1:6" ht="78.75">
      <c r="A182" s="573"/>
      <c r="B182" s="492" t="s">
        <v>1508</v>
      </c>
      <c r="C182" s="493"/>
      <c r="D182" s="493"/>
      <c r="E182" s="1038"/>
      <c r="F182" s="1039"/>
    </row>
    <row r="183" spans="1:6" ht="47.25">
      <c r="A183" s="573"/>
      <c r="B183" s="492" t="s">
        <v>1471</v>
      </c>
      <c r="C183" s="493"/>
      <c r="D183" s="493"/>
      <c r="E183" s="1038"/>
      <c r="F183" s="1039"/>
    </row>
    <row r="184" spans="1:6" ht="78.75">
      <c r="A184" s="573"/>
      <c r="B184" s="492" t="s">
        <v>1509</v>
      </c>
      <c r="C184" s="494"/>
      <c r="D184" s="494"/>
      <c r="E184" s="1038"/>
      <c r="F184" s="1039"/>
    </row>
    <row r="185" spans="1:6" ht="31.5">
      <c r="A185" s="573"/>
      <c r="B185" s="492" t="s">
        <v>1482</v>
      </c>
      <c r="C185" s="494" t="s">
        <v>622</v>
      </c>
      <c r="D185" s="494">
        <v>1</v>
      </c>
      <c r="E185" s="1038"/>
      <c r="F185" s="1039"/>
    </row>
    <row r="186" spans="1:6" ht="47.25">
      <c r="A186" s="573"/>
      <c r="B186" s="492" t="s">
        <v>1483</v>
      </c>
      <c r="C186" s="494" t="s">
        <v>622</v>
      </c>
      <c r="D186" s="494">
        <v>1</v>
      </c>
      <c r="E186" s="1038"/>
      <c r="F186" s="1039"/>
    </row>
    <row r="187" spans="1:6" ht="31.5">
      <c r="A187" s="573"/>
      <c r="B187" s="492" t="s">
        <v>1484</v>
      </c>
      <c r="C187" s="494" t="s">
        <v>622</v>
      </c>
      <c r="D187" s="494">
        <v>1</v>
      </c>
      <c r="E187" s="1038"/>
      <c r="F187" s="1039"/>
    </row>
    <row r="188" spans="1:6">
      <c r="A188" s="573"/>
      <c r="B188" s="480" t="s">
        <v>768</v>
      </c>
      <c r="C188" s="481" t="s">
        <v>622</v>
      </c>
      <c r="D188" s="482">
        <v>7</v>
      </c>
      <c r="E188" s="1038"/>
      <c r="F188" s="1039"/>
    </row>
    <row r="189" spans="1:6">
      <c r="A189" s="573"/>
      <c r="B189" s="480" t="s">
        <v>1485</v>
      </c>
      <c r="C189" s="481" t="s">
        <v>390</v>
      </c>
      <c r="D189" s="482">
        <v>12</v>
      </c>
      <c r="E189" s="1038"/>
      <c r="F189" s="1039"/>
    </row>
    <row r="190" spans="1:6">
      <c r="A190" s="573"/>
      <c r="B190" s="480" t="s">
        <v>769</v>
      </c>
      <c r="C190" s="481" t="s">
        <v>390</v>
      </c>
      <c r="D190" s="482">
        <v>56</v>
      </c>
      <c r="E190" s="1038"/>
      <c r="F190" s="1039"/>
    </row>
    <row r="191" spans="1:6">
      <c r="A191" s="573"/>
      <c r="B191" s="489" t="s">
        <v>790</v>
      </c>
      <c r="C191" s="487" t="s">
        <v>390</v>
      </c>
      <c r="D191" s="482">
        <v>11</v>
      </c>
      <c r="E191" s="1038"/>
      <c r="F191" s="1039"/>
    </row>
    <row r="192" spans="1:6" ht="63">
      <c r="A192" s="573"/>
      <c r="B192" s="492" t="s">
        <v>771</v>
      </c>
      <c r="C192" s="481" t="s">
        <v>622</v>
      </c>
      <c r="D192" s="482">
        <v>2</v>
      </c>
      <c r="E192" s="1038"/>
      <c r="F192" s="1039"/>
    </row>
    <row r="193" spans="1:6">
      <c r="A193" s="573"/>
      <c r="B193" s="491"/>
      <c r="C193" s="487"/>
      <c r="D193" s="487"/>
      <c r="E193" s="1038"/>
      <c r="F193" s="1039"/>
    </row>
    <row r="194" spans="1:6" ht="78.75">
      <c r="A194" s="573"/>
      <c r="B194" s="492" t="s">
        <v>1486</v>
      </c>
      <c r="C194" s="487" t="s">
        <v>713</v>
      </c>
      <c r="D194" s="487">
        <v>1</v>
      </c>
      <c r="E194" s="1038"/>
      <c r="F194" s="1039"/>
    </row>
    <row r="195" spans="1:6">
      <c r="A195" s="573"/>
      <c r="B195" s="492" t="s">
        <v>792</v>
      </c>
      <c r="C195" s="487" t="s">
        <v>713</v>
      </c>
      <c r="D195" s="487">
        <v>1</v>
      </c>
      <c r="E195" s="1040"/>
      <c r="F195" s="1041"/>
    </row>
    <row r="196" spans="1:6" ht="63">
      <c r="A196" s="573"/>
      <c r="B196" s="492" t="s">
        <v>776</v>
      </c>
      <c r="C196" s="487" t="s">
        <v>390</v>
      </c>
      <c r="D196" s="487">
        <v>1</v>
      </c>
      <c r="E196" s="793"/>
      <c r="F196" s="797"/>
    </row>
    <row r="197" spans="1:6">
      <c r="A197" s="573"/>
      <c r="B197" s="491"/>
      <c r="C197" s="487"/>
      <c r="D197" s="487"/>
      <c r="E197" s="793"/>
      <c r="F197" s="797"/>
    </row>
    <row r="198" spans="1:6" ht="78.75">
      <c r="A198" s="573" t="s">
        <v>337</v>
      </c>
      <c r="B198" s="492" t="s">
        <v>1510</v>
      </c>
      <c r="C198" s="493"/>
      <c r="D198" s="493"/>
      <c r="E198" s="1036"/>
      <c r="F198" s="1037"/>
    </row>
    <row r="199" spans="1:6" ht="31.5">
      <c r="A199" s="573"/>
      <c r="B199" s="480" t="s">
        <v>787</v>
      </c>
      <c r="C199" s="493"/>
      <c r="D199" s="493"/>
      <c r="E199" s="1038"/>
      <c r="F199" s="1039"/>
    </row>
    <row r="200" spans="1:6" ht="47.25">
      <c r="A200" s="573"/>
      <c r="B200" s="492" t="s">
        <v>1511</v>
      </c>
      <c r="C200" s="493"/>
      <c r="D200" s="493"/>
      <c r="E200" s="1038"/>
      <c r="F200" s="1039"/>
    </row>
    <row r="201" spans="1:6" ht="31.5">
      <c r="A201" s="573"/>
      <c r="B201" s="492" t="s">
        <v>789</v>
      </c>
      <c r="C201" s="493"/>
      <c r="D201" s="493"/>
      <c r="E201" s="1038"/>
      <c r="F201" s="1039"/>
    </row>
    <row r="202" spans="1:6" ht="94.5">
      <c r="A202" s="573"/>
      <c r="B202" s="492" t="s">
        <v>1512</v>
      </c>
      <c r="C202" s="493"/>
      <c r="D202" s="493"/>
      <c r="E202" s="1038"/>
      <c r="F202" s="1039"/>
    </row>
    <row r="203" spans="1:6" ht="78.75">
      <c r="A203" s="573"/>
      <c r="B203" s="492" t="s">
        <v>1513</v>
      </c>
      <c r="C203" s="493"/>
      <c r="D203" s="493"/>
      <c r="E203" s="1038"/>
      <c r="F203" s="1039"/>
    </row>
    <row r="204" spans="1:6" ht="47.25">
      <c r="A204" s="573"/>
      <c r="B204" s="492" t="s">
        <v>1490</v>
      </c>
      <c r="C204" s="493"/>
      <c r="D204" s="493"/>
      <c r="E204" s="1038"/>
      <c r="F204" s="1039"/>
    </row>
    <row r="205" spans="1:6" ht="78.75">
      <c r="A205" s="573"/>
      <c r="B205" s="492" t="s">
        <v>1503</v>
      </c>
      <c r="C205" s="494"/>
      <c r="D205" s="494"/>
      <c r="E205" s="1038"/>
      <c r="F205" s="1039"/>
    </row>
    <row r="206" spans="1:6" ht="47.25">
      <c r="A206" s="573"/>
      <c r="B206" s="492" t="s">
        <v>1514</v>
      </c>
      <c r="C206" s="494" t="s">
        <v>622</v>
      </c>
      <c r="D206" s="494">
        <v>1</v>
      </c>
      <c r="E206" s="1038"/>
      <c r="F206" s="1039"/>
    </row>
    <row r="207" spans="1:6" ht="47.25">
      <c r="A207" s="573"/>
      <c r="B207" s="492" t="s">
        <v>1483</v>
      </c>
      <c r="C207" s="494" t="s">
        <v>622</v>
      </c>
      <c r="D207" s="494">
        <v>1</v>
      </c>
      <c r="E207" s="1038"/>
      <c r="F207" s="1039"/>
    </row>
    <row r="208" spans="1:6" ht="31.5">
      <c r="A208" s="573"/>
      <c r="B208" s="492" t="s">
        <v>1492</v>
      </c>
      <c r="C208" s="494" t="s">
        <v>622</v>
      </c>
      <c r="D208" s="494">
        <v>1</v>
      </c>
      <c r="E208" s="1038"/>
      <c r="F208" s="1039"/>
    </row>
    <row r="209" spans="1:6">
      <c r="A209" s="573"/>
      <c r="B209" s="480" t="s">
        <v>768</v>
      </c>
      <c r="C209" s="481" t="s">
        <v>622</v>
      </c>
      <c r="D209" s="482">
        <v>7</v>
      </c>
      <c r="E209" s="1038"/>
      <c r="F209" s="1039"/>
    </row>
    <row r="210" spans="1:6">
      <c r="A210" s="573"/>
      <c r="B210" s="480" t="s">
        <v>1485</v>
      </c>
      <c r="C210" s="481" t="s">
        <v>390</v>
      </c>
      <c r="D210" s="482">
        <v>14</v>
      </c>
      <c r="E210" s="1038"/>
      <c r="F210" s="1039"/>
    </row>
    <row r="211" spans="1:6">
      <c r="A211" s="573"/>
      <c r="B211" s="480" t="s">
        <v>769</v>
      </c>
      <c r="C211" s="481" t="s">
        <v>390</v>
      </c>
      <c r="D211" s="482">
        <v>56</v>
      </c>
      <c r="E211" s="1038"/>
      <c r="F211" s="1039"/>
    </row>
    <row r="212" spans="1:6">
      <c r="A212" s="573"/>
      <c r="B212" s="489" t="s">
        <v>790</v>
      </c>
      <c r="C212" s="487" t="s">
        <v>390</v>
      </c>
      <c r="D212" s="482">
        <v>9</v>
      </c>
      <c r="E212" s="1038"/>
      <c r="F212" s="1039"/>
    </row>
    <row r="213" spans="1:6" ht="63">
      <c r="A213" s="573"/>
      <c r="B213" s="492" t="s">
        <v>1515</v>
      </c>
      <c r="C213" s="481" t="s">
        <v>622</v>
      </c>
      <c r="D213" s="482">
        <v>2</v>
      </c>
      <c r="E213" s="1038"/>
      <c r="F213" s="1039"/>
    </row>
    <row r="214" spans="1:6">
      <c r="A214" s="573"/>
      <c r="B214" s="491"/>
      <c r="C214" s="487"/>
      <c r="D214" s="487"/>
      <c r="E214" s="1038"/>
      <c r="F214" s="1039"/>
    </row>
    <row r="215" spans="1:6" ht="78.75">
      <c r="A215" s="573"/>
      <c r="B215" s="491" t="s">
        <v>1486</v>
      </c>
      <c r="C215" s="487" t="s">
        <v>713</v>
      </c>
      <c r="D215" s="487">
        <v>1</v>
      </c>
      <c r="E215" s="1038"/>
      <c r="F215" s="1039"/>
    </row>
    <row r="216" spans="1:6">
      <c r="A216" s="573"/>
      <c r="B216" s="491" t="s">
        <v>792</v>
      </c>
      <c r="C216" s="487" t="s">
        <v>713</v>
      </c>
      <c r="D216" s="487">
        <v>1</v>
      </c>
      <c r="E216" s="1040"/>
      <c r="F216" s="1041"/>
    </row>
    <row r="217" spans="1:6" ht="63">
      <c r="A217" s="573"/>
      <c r="B217" s="491" t="s">
        <v>776</v>
      </c>
      <c r="C217" s="487" t="s">
        <v>390</v>
      </c>
      <c r="D217" s="487">
        <v>1</v>
      </c>
      <c r="E217" s="793"/>
      <c r="F217" s="797"/>
    </row>
    <row r="218" spans="1:6">
      <c r="A218" s="573"/>
      <c r="B218" s="491"/>
      <c r="C218" s="487"/>
      <c r="D218" s="487"/>
      <c r="E218" s="793"/>
      <c r="F218" s="797"/>
    </row>
    <row r="219" spans="1:6" ht="78.75">
      <c r="A219" s="573" t="s">
        <v>337</v>
      </c>
      <c r="B219" s="492" t="s">
        <v>1516</v>
      </c>
      <c r="C219" s="494"/>
      <c r="D219" s="494"/>
      <c r="E219" s="1075"/>
      <c r="F219" s="1076"/>
    </row>
    <row r="220" spans="1:6">
      <c r="A220" s="573"/>
      <c r="B220" s="492" t="s">
        <v>1517</v>
      </c>
      <c r="C220" s="494"/>
      <c r="D220" s="494"/>
      <c r="E220" s="1077"/>
      <c r="F220" s="1078"/>
    </row>
    <row r="221" spans="1:6" ht="31.5">
      <c r="A221" s="573"/>
      <c r="B221" s="492" t="s">
        <v>1518</v>
      </c>
      <c r="C221" s="494"/>
      <c r="D221" s="494"/>
      <c r="E221" s="1077"/>
      <c r="F221" s="1078"/>
    </row>
    <row r="222" spans="1:6" ht="31.5">
      <c r="A222" s="573"/>
      <c r="B222" s="492" t="s">
        <v>1519</v>
      </c>
      <c r="C222" s="494"/>
      <c r="D222" s="494"/>
      <c r="E222" s="1077"/>
      <c r="F222" s="1078"/>
    </row>
    <row r="223" spans="1:6" ht="63">
      <c r="A223" s="573"/>
      <c r="B223" s="492" t="s">
        <v>1520</v>
      </c>
      <c r="C223" s="494"/>
      <c r="D223" s="494"/>
      <c r="E223" s="1077"/>
      <c r="F223" s="1078"/>
    </row>
    <row r="224" spans="1:6" ht="78.75">
      <c r="A224" s="573"/>
      <c r="B224" s="492" t="s">
        <v>1521</v>
      </c>
      <c r="C224" s="494"/>
      <c r="D224" s="494"/>
      <c r="E224" s="1077"/>
      <c r="F224" s="1078"/>
    </row>
    <row r="225" spans="1:6" ht="47.25">
      <c r="A225" s="573"/>
      <c r="B225" s="492" t="s">
        <v>1471</v>
      </c>
      <c r="C225" s="494"/>
      <c r="D225" s="494"/>
      <c r="E225" s="1077"/>
      <c r="F225" s="1078"/>
    </row>
    <row r="226" spans="1:6" ht="78.75">
      <c r="A226" s="573"/>
      <c r="B226" s="492" t="s">
        <v>1522</v>
      </c>
      <c r="C226" s="494"/>
      <c r="D226" s="494"/>
      <c r="E226" s="1077"/>
      <c r="F226" s="1078"/>
    </row>
    <row r="227" spans="1:6" ht="31.5">
      <c r="A227" s="573"/>
      <c r="B227" s="492" t="s">
        <v>1482</v>
      </c>
      <c r="C227" s="494" t="s">
        <v>622</v>
      </c>
      <c r="D227" s="494">
        <v>1</v>
      </c>
      <c r="E227" s="1077"/>
      <c r="F227" s="1078"/>
    </row>
    <row r="228" spans="1:6" ht="47.25">
      <c r="A228" s="573"/>
      <c r="B228" s="492" t="s">
        <v>1483</v>
      </c>
      <c r="C228" s="494" t="s">
        <v>622</v>
      </c>
      <c r="D228" s="494">
        <v>1</v>
      </c>
      <c r="E228" s="1077"/>
      <c r="F228" s="1078"/>
    </row>
    <row r="229" spans="1:6" ht="31.5">
      <c r="A229" s="573"/>
      <c r="B229" s="492" t="s">
        <v>1492</v>
      </c>
      <c r="C229" s="494" t="s">
        <v>622</v>
      </c>
      <c r="D229" s="494">
        <v>1</v>
      </c>
      <c r="E229" s="1077"/>
      <c r="F229" s="1078"/>
    </row>
    <row r="230" spans="1:6">
      <c r="A230" s="573"/>
      <c r="B230" s="492" t="s">
        <v>768</v>
      </c>
      <c r="C230" s="494" t="s">
        <v>622</v>
      </c>
      <c r="D230" s="494">
        <v>4</v>
      </c>
      <c r="E230" s="1077"/>
      <c r="F230" s="1078"/>
    </row>
    <row r="231" spans="1:6">
      <c r="A231" s="573"/>
      <c r="B231" s="492" t="s">
        <v>1485</v>
      </c>
      <c r="C231" s="494" t="s">
        <v>390</v>
      </c>
      <c r="D231" s="494">
        <v>5</v>
      </c>
      <c r="E231" s="1077"/>
      <c r="F231" s="1078"/>
    </row>
    <row r="232" spans="1:6">
      <c r="A232" s="573"/>
      <c r="B232" s="492" t="s">
        <v>769</v>
      </c>
      <c r="C232" s="494" t="s">
        <v>390</v>
      </c>
      <c r="D232" s="494">
        <v>13</v>
      </c>
      <c r="E232" s="1077"/>
      <c r="F232" s="1078"/>
    </row>
    <row r="233" spans="1:6">
      <c r="A233" s="573"/>
      <c r="B233" s="492" t="s">
        <v>798</v>
      </c>
      <c r="C233" s="494" t="s">
        <v>390</v>
      </c>
      <c r="D233" s="494">
        <v>2</v>
      </c>
      <c r="E233" s="1077"/>
      <c r="F233" s="1078"/>
    </row>
    <row r="234" spans="1:6" ht="63">
      <c r="A234" s="573"/>
      <c r="B234" s="492" t="s">
        <v>1515</v>
      </c>
      <c r="C234" s="494" t="s">
        <v>622</v>
      </c>
      <c r="D234" s="494">
        <v>2</v>
      </c>
      <c r="E234" s="1077"/>
      <c r="F234" s="1078"/>
    </row>
    <row r="235" spans="1:6" ht="31.5">
      <c r="A235" s="573"/>
      <c r="B235" s="492" t="s">
        <v>772</v>
      </c>
      <c r="C235" s="494" t="s">
        <v>450</v>
      </c>
      <c r="D235" s="494">
        <v>4</v>
      </c>
      <c r="E235" s="1077"/>
      <c r="F235" s="1078"/>
    </row>
    <row r="236" spans="1:6" ht="94.5">
      <c r="A236" s="573"/>
      <c r="B236" s="492" t="s">
        <v>1523</v>
      </c>
      <c r="C236" s="494" t="s">
        <v>717</v>
      </c>
      <c r="D236" s="494">
        <v>1</v>
      </c>
      <c r="E236" s="1077"/>
      <c r="F236" s="1078"/>
    </row>
    <row r="237" spans="1:6" ht="31.5">
      <c r="A237" s="573"/>
      <c r="B237" s="492"/>
      <c r="C237" s="494" t="s">
        <v>717</v>
      </c>
      <c r="D237" s="494">
        <v>1</v>
      </c>
      <c r="E237" s="1079"/>
      <c r="F237" s="1080"/>
    </row>
    <row r="238" spans="1:6">
      <c r="A238" s="573"/>
      <c r="B238" s="492"/>
      <c r="C238" s="494" t="s">
        <v>390</v>
      </c>
      <c r="D238" s="494">
        <v>3</v>
      </c>
      <c r="E238" s="799"/>
      <c r="F238" s="797"/>
    </row>
    <row r="239" spans="1:6" ht="78.75">
      <c r="A239" s="573" t="s">
        <v>338</v>
      </c>
      <c r="B239" s="492" t="s">
        <v>1524</v>
      </c>
      <c r="C239" s="494"/>
      <c r="D239" s="494"/>
      <c r="E239" s="1075"/>
      <c r="F239" s="1076"/>
    </row>
    <row r="240" spans="1:6">
      <c r="A240" s="573"/>
      <c r="B240" s="492" t="s">
        <v>797</v>
      </c>
      <c r="C240" s="494"/>
      <c r="D240" s="494"/>
      <c r="E240" s="1077"/>
      <c r="F240" s="1078"/>
    </row>
    <row r="241" spans="1:6" ht="31.5">
      <c r="A241" s="573"/>
      <c r="B241" s="492" t="s">
        <v>1518</v>
      </c>
      <c r="C241" s="494"/>
      <c r="D241" s="494"/>
      <c r="E241" s="1077"/>
      <c r="F241" s="1078"/>
    </row>
    <row r="242" spans="1:6" ht="31.5">
      <c r="A242" s="573"/>
      <c r="B242" s="492" t="s">
        <v>1519</v>
      </c>
      <c r="C242" s="494"/>
      <c r="D242" s="494"/>
      <c r="E242" s="1077"/>
      <c r="F242" s="1078"/>
    </row>
    <row r="243" spans="1:6" ht="110.25">
      <c r="A243" s="573"/>
      <c r="B243" s="492" t="s">
        <v>1525</v>
      </c>
      <c r="C243" s="494"/>
      <c r="D243" s="494"/>
      <c r="E243" s="1077"/>
      <c r="F243" s="1078"/>
    </row>
    <row r="244" spans="1:6" ht="78.75">
      <c r="A244" s="573"/>
      <c r="B244" s="492" t="s">
        <v>1526</v>
      </c>
      <c r="C244" s="494"/>
      <c r="D244" s="494"/>
      <c r="E244" s="1077"/>
      <c r="F244" s="1078"/>
    </row>
    <row r="245" spans="1:6" ht="47.25">
      <c r="A245" s="573"/>
      <c r="B245" s="492" t="s">
        <v>1527</v>
      </c>
      <c r="C245" s="494"/>
      <c r="D245" s="494"/>
      <c r="E245" s="1077"/>
      <c r="F245" s="1078"/>
    </row>
    <row r="246" spans="1:6" ht="78.75">
      <c r="A246" s="573"/>
      <c r="B246" s="492" t="s">
        <v>1503</v>
      </c>
      <c r="C246" s="494"/>
      <c r="D246" s="494"/>
      <c r="E246" s="1077"/>
      <c r="F246" s="1078"/>
    </row>
    <row r="247" spans="1:6" ht="47.25">
      <c r="A247" s="573"/>
      <c r="B247" s="492" t="s">
        <v>1528</v>
      </c>
      <c r="C247" s="494" t="s">
        <v>622</v>
      </c>
      <c r="D247" s="494">
        <v>1</v>
      </c>
      <c r="E247" s="1077"/>
      <c r="F247" s="1078"/>
    </row>
    <row r="248" spans="1:6" ht="47.25">
      <c r="A248" s="573"/>
      <c r="B248" s="492" t="s">
        <v>1483</v>
      </c>
      <c r="C248" s="494" t="s">
        <v>622</v>
      </c>
      <c r="D248" s="494">
        <v>1</v>
      </c>
      <c r="E248" s="1077"/>
      <c r="F248" s="1078"/>
    </row>
    <row r="249" spans="1:6" ht="31.5">
      <c r="A249" s="573"/>
      <c r="B249" s="492" t="s">
        <v>1492</v>
      </c>
      <c r="C249" s="494" t="s">
        <v>622</v>
      </c>
      <c r="D249" s="494">
        <v>1</v>
      </c>
      <c r="E249" s="1077"/>
      <c r="F249" s="1078"/>
    </row>
    <row r="250" spans="1:6">
      <c r="A250" s="573"/>
      <c r="B250" s="492" t="s">
        <v>1485</v>
      </c>
      <c r="C250" s="494" t="s">
        <v>390</v>
      </c>
      <c r="D250" s="494">
        <v>3</v>
      </c>
      <c r="E250" s="1077"/>
      <c r="F250" s="1078"/>
    </row>
    <row r="251" spans="1:6">
      <c r="A251" s="573"/>
      <c r="B251" s="492" t="s">
        <v>769</v>
      </c>
      <c r="C251" s="494" t="s">
        <v>390</v>
      </c>
      <c r="D251" s="494">
        <v>13</v>
      </c>
      <c r="E251" s="1077"/>
      <c r="F251" s="1078"/>
    </row>
    <row r="252" spans="1:6">
      <c r="A252" s="573"/>
      <c r="B252" s="492" t="s">
        <v>1529</v>
      </c>
      <c r="C252" s="494" t="s">
        <v>390</v>
      </c>
      <c r="D252" s="494">
        <v>18</v>
      </c>
      <c r="E252" s="1077"/>
      <c r="F252" s="1078"/>
    </row>
    <row r="253" spans="1:6">
      <c r="A253" s="573"/>
      <c r="B253" s="492" t="s">
        <v>798</v>
      </c>
      <c r="C253" s="494" t="s">
        <v>390</v>
      </c>
      <c r="D253" s="494">
        <v>2</v>
      </c>
      <c r="E253" s="1077"/>
      <c r="F253" s="1078"/>
    </row>
    <row r="254" spans="1:6" ht="63">
      <c r="A254" s="573"/>
      <c r="B254" s="492" t="s">
        <v>1515</v>
      </c>
      <c r="C254" s="494" t="s">
        <v>622</v>
      </c>
      <c r="D254" s="494">
        <v>2</v>
      </c>
      <c r="E254" s="1077"/>
      <c r="F254" s="1078"/>
    </row>
    <row r="255" spans="1:6" ht="31.5">
      <c r="A255" s="573"/>
      <c r="B255" s="492" t="s">
        <v>772</v>
      </c>
      <c r="C255" s="494" t="s">
        <v>450</v>
      </c>
      <c r="D255" s="494">
        <v>4</v>
      </c>
      <c r="E255" s="1077"/>
      <c r="F255" s="1078"/>
    </row>
    <row r="256" spans="1:6" ht="94.5">
      <c r="A256" s="573"/>
      <c r="B256" s="492" t="s">
        <v>1530</v>
      </c>
      <c r="C256" s="494" t="s">
        <v>717</v>
      </c>
      <c r="D256" s="494">
        <v>1</v>
      </c>
      <c r="E256" s="1077"/>
      <c r="F256" s="1078"/>
    </row>
    <row r="257" spans="1:6" ht="31.5">
      <c r="A257" s="573"/>
      <c r="B257" s="492"/>
      <c r="C257" s="494" t="s">
        <v>717</v>
      </c>
      <c r="D257" s="494">
        <v>1</v>
      </c>
      <c r="E257" s="1079"/>
      <c r="F257" s="1080"/>
    </row>
    <row r="258" spans="1:6">
      <c r="A258" s="573"/>
      <c r="B258" s="492"/>
      <c r="C258" s="494" t="s">
        <v>390</v>
      </c>
      <c r="D258" s="494">
        <v>3</v>
      </c>
      <c r="E258" s="799"/>
      <c r="F258" s="797"/>
    </row>
    <row r="259" spans="1:6">
      <c r="A259" s="573"/>
      <c r="B259" s="491"/>
      <c r="C259" s="487"/>
      <c r="D259" s="487"/>
      <c r="E259" s="793"/>
      <c r="F259" s="800"/>
    </row>
    <row r="260" spans="1:6" ht="78.75">
      <c r="A260" s="573" t="s">
        <v>338</v>
      </c>
      <c r="B260" s="760" t="s">
        <v>799</v>
      </c>
      <c r="C260" s="759"/>
      <c r="D260" s="759"/>
      <c r="E260" s="1069"/>
      <c r="F260" s="1070"/>
    </row>
    <row r="261" spans="1:6" ht="63">
      <c r="A261" s="573"/>
      <c r="B261" s="497" t="s">
        <v>1531</v>
      </c>
      <c r="C261" s="487" t="s">
        <v>390</v>
      </c>
      <c r="D261" s="487">
        <v>1</v>
      </c>
      <c r="E261" s="1071"/>
      <c r="F261" s="1072"/>
    </row>
    <row r="262" spans="1:6" ht="63">
      <c r="A262" s="573"/>
      <c r="B262" s="491" t="s">
        <v>800</v>
      </c>
      <c r="C262" s="481" t="s">
        <v>390</v>
      </c>
      <c r="D262" s="481">
        <v>4</v>
      </c>
      <c r="E262" s="1071"/>
      <c r="F262" s="1072"/>
    </row>
    <row r="263" spans="1:6" ht="63">
      <c r="A263" s="573"/>
      <c r="B263" s="491" t="s">
        <v>1532</v>
      </c>
      <c r="C263" s="481" t="s">
        <v>390</v>
      </c>
      <c r="D263" s="481">
        <v>6</v>
      </c>
      <c r="E263" s="1071"/>
      <c r="F263" s="1072"/>
    </row>
    <row r="264" spans="1:6" ht="63">
      <c r="A264" s="573"/>
      <c r="B264" s="491" t="s">
        <v>1533</v>
      </c>
      <c r="C264" s="487" t="s">
        <v>390</v>
      </c>
      <c r="D264" s="487">
        <v>17</v>
      </c>
      <c r="E264" s="1071"/>
      <c r="F264" s="1072"/>
    </row>
    <row r="265" spans="1:6" ht="63">
      <c r="A265" s="573"/>
      <c r="B265" s="490" t="s">
        <v>803</v>
      </c>
      <c r="C265" s="487" t="s">
        <v>390</v>
      </c>
      <c r="D265" s="487">
        <v>1</v>
      </c>
      <c r="E265" s="1071"/>
      <c r="F265" s="1072"/>
    </row>
    <row r="266" spans="1:6" ht="47.25">
      <c r="A266" s="573"/>
      <c r="B266" s="490" t="s">
        <v>804</v>
      </c>
      <c r="C266" s="487" t="s">
        <v>390</v>
      </c>
      <c r="D266" s="487">
        <v>1</v>
      </c>
      <c r="E266" s="1071"/>
      <c r="F266" s="1072"/>
    </row>
    <row r="267" spans="1:6" ht="47.25">
      <c r="A267" s="573"/>
      <c r="B267" s="490" t="s">
        <v>805</v>
      </c>
      <c r="C267" s="487" t="s">
        <v>390</v>
      </c>
      <c r="D267" s="487">
        <v>1</v>
      </c>
      <c r="E267" s="1071"/>
      <c r="F267" s="1072"/>
    </row>
    <row r="268" spans="1:6" ht="94.5">
      <c r="A268" s="573"/>
      <c r="B268" s="490" t="s">
        <v>806</v>
      </c>
      <c r="C268" s="487" t="s">
        <v>390</v>
      </c>
      <c r="D268" s="487">
        <v>1</v>
      </c>
      <c r="E268" s="1071"/>
      <c r="F268" s="1072"/>
    </row>
    <row r="269" spans="1:6">
      <c r="A269" s="573"/>
      <c r="B269" s="491" t="s">
        <v>775</v>
      </c>
      <c r="C269" s="487" t="s">
        <v>390</v>
      </c>
      <c r="D269" s="487">
        <v>3</v>
      </c>
      <c r="E269" s="1071"/>
      <c r="F269" s="1072"/>
    </row>
    <row r="270" spans="1:6">
      <c r="A270" s="573"/>
      <c r="B270" s="491"/>
      <c r="C270" s="487"/>
      <c r="D270" s="487"/>
      <c r="E270" s="1071"/>
      <c r="F270" s="1072"/>
    </row>
    <row r="271" spans="1:6" ht="78.75">
      <c r="A271" s="573" t="s">
        <v>339</v>
      </c>
      <c r="B271" s="760" t="s">
        <v>807</v>
      </c>
      <c r="C271" s="759"/>
      <c r="D271" s="759"/>
      <c r="E271" s="1071"/>
      <c r="F271" s="1072"/>
    </row>
    <row r="272" spans="1:6" ht="63">
      <c r="A272" s="573"/>
      <c r="B272" s="497" t="s">
        <v>1534</v>
      </c>
      <c r="C272" s="487" t="s">
        <v>390</v>
      </c>
      <c r="D272" s="487">
        <v>1</v>
      </c>
      <c r="E272" s="1071"/>
      <c r="F272" s="1072"/>
    </row>
    <row r="273" spans="1:6" ht="63">
      <c r="A273" s="573"/>
      <c r="B273" s="491" t="s">
        <v>800</v>
      </c>
      <c r="C273" s="481" t="s">
        <v>390</v>
      </c>
      <c r="D273" s="481">
        <v>4</v>
      </c>
      <c r="E273" s="1071"/>
      <c r="F273" s="1072"/>
    </row>
    <row r="274" spans="1:6" ht="63">
      <c r="A274" s="573"/>
      <c r="B274" s="491" t="s">
        <v>801</v>
      </c>
      <c r="C274" s="481" t="s">
        <v>390</v>
      </c>
      <c r="D274" s="481">
        <v>6</v>
      </c>
      <c r="E274" s="1071"/>
      <c r="F274" s="1072"/>
    </row>
    <row r="275" spans="1:6" ht="63">
      <c r="A275" s="573"/>
      <c r="B275" s="491" t="s">
        <v>802</v>
      </c>
      <c r="C275" s="487" t="s">
        <v>390</v>
      </c>
      <c r="D275" s="487">
        <v>17</v>
      </c>
      <c r="E275" s="1071"/>
      <c r="F275" s="1072"/>
    </row>
    <row r="276" spans="1:6" ht="54.6" customHeight="1">
      <c r="A276" s="573"/>
      <c r="B276" s="490" t="s">
        <v>803</v>
      </c>
      <c r="C276" s="487" t="s">
        <v>390</v>
      </c>
      <c r="D276" s="487">
        <v>1</v>
      </c>
      <c r="E276" s="1071"/>
      <c r="F276" s="1072"/>
    </row>
    <row r="277" spans="1:6" ht="47.25">
      <c r="A277" s="573"/>
      <c r="B277" s="490" t="s">
        <v>804</v>
      </c>
      <c r="C277" s="487" t="s">
        <v>390</v>
      </c>
      <c r="D277" s="487">
        <v>1</v>
      </c>
      <c r="E277" s="1071"/>
      <c r="F277" s="1072"/>
    </row>
    <row r="278" spans="1:6" ht="47.25">
      <c r="A278" s="573"/>
      <c r="B278" s="490" t="s">
        <v>805</v>
      </c>
      <c r="C278" s="487" t="s">
        <v>390</v>
      </c>
      <c r="D278" s="487">
        <v>1</v>
      </c>
      <c r="E278" s="1071"/>
      <c r="F278" s="1072"/>
    </row>
    <row r="279" spans="1:6" ht="94.5">
      <c r="A279" s="573"/>
      <c r="B279" s="490" t="s">
        <v>806</v>
      </c>
      <c r="C279" s="487" t="s">
        <v>390</v>
      </c>
      <c r="D279" s="487">
        <v>1</v>
      </c>
      <c r="E279" s="1071"/>
      <c r="F279" s="1072"/>
    </row>
    <row r="280" spans="1:6">
      <c r="A280" s="573"/>
      <c r="B280" s="491" t="s">
        <v>775</v>
      </c>
      <c r="C280" s="487" t="s">
        <v>390</v>
      </c>
      <c r="D280" s="487">
        <v>3</v>
      </c>
      <c r="E280" s="1071"/>
      <c r="F280" s="1072"/>
    </row>
    <row r="281" spans="1:6">
      <c r="A281" s="573"/>
      <c r="B281" s="491"/>
      <c r="C281" s="487"/>
      <c r="D281" s="487"/>
      <c r="E281" s="1071"/>
      <c r="F281" s="1072"/>
    </row>
    <row r="282" spans="1:6" ht="78.75">
      <c r="A282" s="573"/>
      <c r="B282" s="491" t="s">
        <v>1505</v>
      </c>
      <c r="C282" s="487" t="s">
        <v>713</v>
      </c>
      <c r="D282" s="487">
        <v>1</v>
      </c>
      <c r="E282" s="1071"/>
      <c r="F282" s="1072"/>
    </row>
    <row r="283" spans="1:6">
      <c r="A283" s="573"/>
      <c r="B283" s="491" t="s">
        <v>792</v>
      </c>
      <c r="C283" s="487" t="s">
        <v>713</v>
      </c>
      <c r="D283" s="487">
        <v>1</v>
      </c>
      <c r="E283" s="1073"/>
      <c r="F283" s="1074"/>
    </row>
    <row r="284" spans="1:6" ht="63">
      <c r="A284" s="573"/>
      <c r="B284" s="491" t="s">
        <v>776</v>
      </c>
      <c r="C284" s="487" t="s">
        <v>390</v>
      </c>
      <c r="D284" s="487">
        <v>1</v>
      </c>
      <c r="E284" s="793"/>
      <c r="F284" s="782"/>
    </row>
    <row r="285" spans="1:6">
      <c r="A285" s="573"/>
      <c r="B285" s="491"/>
      <c r="C285" s="487"/>
      <c r="D285" s="487"/>
      <c r="E285" s="793"/>
      <c r="F285" s="800"/>
    </row>
    <row r="286" spans="1:6" ht="78.75">
      <c r="A286" s="573" t="s">
        <v>340</v>
      </c>
      <c r="B286" s="760" t="s">
        <v>808</v>
      </c>
      <c r="C286" s="759"/>
      <c r="D286" s="759"/>
      <c r="E286" s="1036"/>
      <c r="F286" s="1037"/>
    </row>
    <row r="287" spans="1:6" ht="63">
      <c r="A287" s="573"/>
      <c r="B287" s="497" t="s">
        <v>1535</v>
      </c>
      <c r="C287" s="487" t="s">
        <v>390</v>
      </c>
      <c r="D287" s="487">
        <v>1</v>
      </c>
      <c r="E287" s="1038"/>
      <c r="F287" s="1039"/>
    </row>
    <row r="288" spans="1:6" ht="63">
      <c r="A288" s="573"/>
      <c r="B288" s="491" t="s">
        <v>800</v>
      </c>
      <c r="C288" s="481" t="s">
        <v>390</v>
      </c>
      <c r="D288" s="481">
        <v>4</v>
      </c>
      <c r="E288" s="1038"/>
      <c r="F288" s="1039"/>
    </row>
    <row r="289" spans="1:6" ht="63">
      <c r="A289" s="573"/>
      <c r="B289" s="491" t="s">
        <v>801</v>
      </c>
      <c r="C289" s="481" t="s">
        <v>390</v>
      </c>
      <c r="D289" s="481">
        <v>6</v>
      </c>
      <c r="E289" s="1038"/>
      <c r="F289" s="1039"/>
    </row>
    <row r="290" spans="1:6" ht="63">
      <c r="A290" s="573"/>
      <c r="B290" s="491" t="s">
        <v>802</v>
      </c>
      <c r="C290" s="487" t="s">
        <v>390</v>
      </c>
      <c r="D290" s="487">
        <v>17</v>
      </c>
      <c r="E290" s="1038"/>
      <c r="F290" s="1039"/>
    </row>
    <row r="291" spans="1:6" ht="63">
      <c r="A291" s="573"/>
      <c r="B291" s="490" t="s">
        <v>803</v>
      </c>
      <c r="C291" s="487" t="s">
        <v>390</v>
      </c>
      <c r="D291" s="487">
        <v>1</v>
      </c>
      <c r="E291" s="1038"/>
      <c r="F291" s="1039"/>
    </row>
    <row r="292" spans="1:6" ht="47.25">
      <c r="A292" s="573"/>
      <c r="B292" s="490" t="s">
        <v>804</v>
      </c>
      <c r="C292" s="487" t="s">
        <v>390</v>
      </c>
      <c r="D292" s="487">
        <v>1</v>
      </c>
      <c r="E292" s="1038"/>
      <c r="F292" s="1039"/>
    </row>
    <row r="293" spans="1:6" ht="47.25">
      <c r="A293" s="573"/>
      <c r="B293" s="490" t="s">
        <v>805</v>
      </c>
      <c r="C293" s="487" t="s">
        <v>390</v>
      </c>
      <c r="D293" s="487">
        <v>1</v>
      </c>
      <c r="E293" s="1038"/>
      <c r="F293" s="1039"/>
    </row>
    <row r="294" spans="1:6" ht="94.5">
      <c r="A294" s="573"/>
      <c r="B294" s="490" t="s">
        <v>806</v>
      </c>
      <c r="C294" s="487" t="s">
        <v>390</v>
      </c>
      <c r="D294" s="487">
        <v>1</v>
      </c>
      <c r="E294" s="1038"/>
      <c r="F294" s="1039"/>
    </row>
    <row r="295" spans="1:6">
      <c r="A295" s="573"/>
      <c r="B295" s="491" t="s">
        <v>775</v>
      </c>
      <c r="C295" s="487" t="s">
        <v>390</v>
      </c>
      <c r="D295" s="487">
        <v>3</v>
      </c>
      <c r="E295" s="1038"/>
      <c r="F295" s="1039"/>
    </row>
    <row r="296" spans="1:6">
      <c r="A296" s="573"/>
      <c r="B296" s="491"/>
      <c r="C296" s="487"/>
      <c r="D296" s="487"/>
      <c r="E296" s="1038"/>
      <c r="F296" s="1039"/>
    </row>
    <row r="297" spans="1:6" ht="78.75">
      <c r="A297" s="573"/>
      <c r="B297" s="491" t="s">
        <v>791</v>
      </c>
      <c r="C297" s="487" t="s">
        <v>713</v>
      </c>
      <c r="D297" s="487">
        <v>1</v>
      </c>
      <c r="E297" s="1038"/>
      <c r="F297" s="1039"/>
    </row>
    <row r="298" spans="1:6">
      <c r="A298" s="573"/>
      <c r="B298" s="491" t="s">
        <v>792</v>
      </c>
      <c r="C298" s="487" t="s">
        <v>713</v>
      </c>
      <c r="D298" s="487">
        <v>1</v>
      </c>
      <c r="E298" s="1040"/>
      <c r="F298" s="1041"/>
    </row>
    <row r="299" spans="1:6" ht="63">
      <c r="A299" s="573"/>
      <c r="B299" s="491" t="s">
        <v>776</v>
      </c>
      <c r="C299" s="487" t="s">
        <v>390</v>
      </c>
      <c r="D299" s="487">
        <v>1</v>
      </c>
      <c r="E299" s="793"/>
      <c r="F299" s="782"/>
    </row>
    <row r="300" spans="1:6">
      <c r="A300" s="573"/>
      <c r="B300" s="760"/>
      <c r="C300" s="759"/>
      <c r="D300" s="759"/>
      <c r="E300" s="798"/>
      <c r="F300" s="801"/>
    </row>
    <row r="301" spans="1:6" ht="141.75">
      <c r="A301" s="573" t="s">
        <v>340</v>
      </c>
      <c r="B301" s="498" t="s">
        <v>809</v>
      </c>
      <c r="C301" s="487" t="s">
        <v>390</v>
      </c>
      <c r="D301" s="487">
        <v>1</v>
      </c>
      <c r="E301" s="1042"/>
      <c r="F301" s="1043"/>
    </row>
    <row r="302" spans="1:6">
      <c r="A302" s="573"/>
      <c r="B302" s="761" t="s">
        <v>810</v>
      </c>
      <c r="C302" s="481" t="s">
        <v>390</v>
      </c>
      <c r="D302" s="481">
        <v>1</v>
      </c>
      <c r="E302" s="1044"/>
      <c r="F302" s="1045"/>
    </row>
    <row r="303" spans="1:6">
      <c r="A303" s="573"/>
      <c r="B303" s="761" t="s">
        <v>811</v>
      </c>
      <c r="C303" s="481" t="s">
        <v>390</v>
      </c>
      <c r="D303" s="481">
        <v>1</v>
      </c>
      <c r="E303" s="1044"/>
      <c r="F303" s="1045"/>
    </row>
    <row r="304" spans="1:6" ht="31.5">
      <c r="A304" s="573"/>
      <c r="B304" s="498" t="s">
        <v>812</v>
      </c>
      <c r="C304" s="487" t="s">
        <v>390</v>
      </c>
      <c r="D304" s="487">
        <v>1</v>
      </c>
      <c r="E304" s="1044"/>
      <c r="F304" s="1045"/>
    </row>
    <row r="305" spans="1:7">
      <c r="A305" s="573"/>
      <c r="B305" s="761" t="s">
        <v>813</v>
      </c>
      <c r="C305" s="487" t="s">
        <v>390</v>
      </c>
      <c r="D305" s="487">
        <v>1</v>
      </c>
      <c r="E305" s="1044"/>
      <c r="F305" s="1045"/>
    </row>
    <row r="306" spans="1:7">
      <c r="A306" s="573"/>
      <c r="B306" s="761" t="s">
        <v>814</v>
      </c>
      <c r="C306" s="487" t="s">
        <v>390</v>
      </c>
      <c r="D306" s="487">
        <v>1</v>
      </c>
      <c r="E306" s="1044"/>
      <c r="F306" s="1045"/>
    </row>
    <row r="307" spans="1:7">
      <c r="A307" s="573"/>
      <c r="B307" s="761" t="s">
        <v>815</v>
      </c>
      <c r="C307" s="487" t="s">
        <v>390</v>
      </c>
      <c r="D307" s="487">
        <v>1</v>
      </c>
      <c r="E307" s="1044"/>
      <c r="F307" s="1045"/>
    </row>
    <row r="308" spans="1:7">
      <c r="A308" s="573"/>
      <c r="B308" s="761" t="s">
        <v>816</v>
      </c>
      <c r="C308" s="487" t="s">
        <v>390</v>
      </c>
      <c r="D308" s="487">
        <v>1</v>
      </c>
      <c r="E308" s="1044"/>
      <c r="F308" s="1045"/>
    </row>
    <row r="309" spans="1:7">
      <c r="A309" s="573"/>
      <c r="B309" s="761" t="s">
        <v>817</v>
      </c>
      <c r="C309" s="487" t="s">
        <v>390</v>
      </c>
      <c r="D309" s="487">
        <v>3</v>
      </c>
      <c r="E309" s="1044"/>
      <c r="F309" s="1045"/>
    </row>
    <row r="310" spans="1:7">
      <c r="A310" s="573"/>
      <c r="B310" s="761" t="s">
        <v>818</v>
      </c>
      <c r="C310" s="487" t="s">
        <v>713</v>
      </c>
      <c r="D310" s="487">
        <v>1</v>
      </c>
      <c r="E310" s="1044"/>
      <c r="F310" s="1045"/>
    </row>
    <row r="311" spans="1:7" ht="78.75">
      <c r="A311" s="573"/>
      <c r="B311" s="491" t="s">
        <v>791</v>
      </c>
      <c r="C311" s="487" t="s">
        <v>713</v>
      </c>
      <c r="D311" s="487">
        <v>1</v>
      </c>
      <c r="E311" s="1044"/>
      <c r="F311" s="1045"/>
    </row>
    <row r="312" spans="1:7">
      <c r="A312" s="573"/>
      <c r="B312" s="491" t="s">
        <v>792</v>
      </c>
      <c r="C312" s="487" t="s">
        <v>713</v>
      </c>
      <c r="D312" s="487">
        <v>1</v>
      </c>
      <c r="E312" s="1046"/>
      <c r="F312" s="1047"/>
    </row>
    <row r="313" spans="1:7" ht="63">
      <c r="A313" s="574"/>
      <c r="B313" s="171" t="s">
        <v>776</v>
      </c>
      <c r="C313" s="172" t="s">
        <v>390</v>
      </c>
      <c r="D313" s="172">
        <v>1</v>
      </c>
      <c r="E313" s="802"/>
      <c r="F313" s="782"/>
    </row>
    <row r="314" spans="1:7">
      <c r="A314" s="575"/>
      <c r="B314" s="173"/>
      <c r="C314" s="174"/>
      <c r="D314" s="174"/>
      <c r="E314" s="803"/>
      <c r="F314" s="804"/>
    </row>
    <row r="315" spans="1:7">
      <c r="A315" s="575"/>
      <c r="B315" s="173" t="s">
        <v>819</v>
      </c>
      <c r="C315" s="174"/>
      <c r="D315" s="174"/>
      <c r="E315" s="803"/>
      <c r="F315" s="805"/>
    </row>
    <row r="316" spans="1:7">
      <c r="A316" s="575"/>
      <c r="B316" s="173"/>
      <c r="C316" s="174"/>
      <c r="D316" s="174"/>
      <c r="E316" s="803"/>
      <c r="F316" s="804"/>
    </row>
    <row r="317" spans="1:7">
      <c r="A317" s="165"/>
      <c r="B317" s="175"/>
      <c r="C317" s="176"/>
      <c r="D317" s="176"/>
      <c r="E317" s="806"/>
      <c r="F317" s="807"/>
    </row>
    <row r="318" spans="1:7">
      <c r="A318" s="168">
        <v>3</v>
      </c>
      <c r="B318" s="177" t="s">
        <v>820</v>
      </c>
      <c r="C318" s="178"/>
      <c r="D318" s="178"/>
      <c r="E318" s="808"/>
      <c r="F318" s="809"/>
    </row>
    <row r="319" spans="1:7" s="592" customFormat="1" ht="266.25" customHeight="1">
      <c r="A319" s="769"/>
      <c r="B319" s="576" t="s">
        <v>1893</v>
      </c>
      <c r="C319" s="483"/>
      <c r="D319" s="483"/>
      <c r="E319" s="793"/>
      <c r="F319" s="797"/>
      <c r="G319" s="576"/>
    </row>
    <row r="320" spans="1:7" ht="174" customHeight="1">
      <c r="A320" s="179">
        <v>1</v>
      </c>
      <c r="B320" s="576" t="s">
        <v>1894</v>
      </c>
      <c r="C320" s="499" t="s">
        <v>390</v>
      </c>
      <c r="D320" s="500">
        <v>161</v>
      </c>
      <c r="E320" s="810"/>
      <c r="F320" s="797"/>
      <c r="G320" s="762"/>
    </row>
    <row r="321" spans="1:7" ht="166.5" customHeight="1">
      <c r="A321" s="179">
        <v>2</v>
      </c>
      <c r="B321" s="576" t="s">
        <v>1895</v>
      </c>
      <c r="C321" s="499" t="s">
        <v>390</v>
      </c>
      <c r="D321" s="500">
        <v>12</v>
      </c>
      <c r="E321" s="810"/>
      <c r="F321" s="797"/>
      <c r="G321" s="763" t="s">
        <v>1896</v>
      </c>
    </row>
    <row r="322" spans="1:7" ht="243.75" customHeight="1">
      <c r="A322" s="179">
        <v>3</v>
      </c>
      <c r="B322" s="501" t="s">
        <v>1936</v>
      </c>
      <c r="C322" s="499" t="s">
        <v>390</v>
      </c>
      <c r="D322" s="500">
        <v>105</v>
      </c>
      <c r="E322" s="810"/>
      <c r="F322" s="797"/>
      <c r="G322" s="764"/>
    </row>
    <row r="323" spans="1:7" ht="236.25">
      <c r="A323" s="179">
        <v>4</v>
      </c>
      <c r="B323" s="501" t="s">
        <v>1937</v>
      </c>
      <c r="C323" s="499" t="s">
        <v>390</v>
      </c>
      <c r="D323" s="500">
        <v>4</v>
      </c>
      <c r="E323" s="810"/>
      <c r="F323" s="797"/>
      <c r="G323" s="763" t="s">
        <v>1896</v>
      </c>
    </row>
    <row r="324" spans="1:7" ht="206.25" customHeight="1">
      <c r="A324" s="179">
        <v>5</v>
      </c>
      <c r="B324" s="502" t="s">
        <v>1897</v>
      </c>
      <c r="C324" s="503" t="s">
        <v>622</v>
      </c>
      <c r="D324" s="493">
        <v>15</v>
      </c>
      <c r="E324" s="810"/>
      <c r="F324" s="797"/>
      <c r="G324" s="762"/>
    </row>
    <row r="325" spans="1:7" ht="320.25" customHeight="1">
      <c r="A325" s="179">
        <v>6</v>
      </c>
      <c r="B325" s="480" t="s">
        <v>1898</v>
      </c>
      <c r="C325" s="503" t="s">
        <v>622</v>
      </c>
      <c r="D325" s="493">
        <v>6</v>
      </c>
      <c r="E325" s="810"/>
      <c r="F325" s="797"/>
      <c r="G325" s="763" t="s">
        <v>1899</v>
      </c>
    </row>
    <row r="326" spans="1:7" ht="336.75" customHeight="1">
      <c r="A326" s="179">
        <v>7</v>
      </c>
      <c r="B326" s="497" t="s">
        <v>1900</v>
      </c>
      <c r="C326" s="499" t="s">
        <v>390</v>
      </c>
      <c r="D326" s="500">
        <v>1</v>
      </c>
      <c r="E326" s="810"/>
      <c r="F326" s="797"/>
    </row>
    <row r="327" spans="1:7" ht="210" customHeight="1">
      <c r="A327" s="179">
        <v>8</v>
      </c>
      <c r="B327" s="480" t="s">
        <v>1938</v>
      </c>
      <c r="C327" s="499" t="s">
        <v>390</v>
      </c>
      <c r="D327" s="500">
        <v>14</v>
      </c>
      <c r="E327" s="811"/>
      <c r="F327" s="797"/>
    </row>
    <row r="328" spans="1:7" ht="104.25" customHeight="1">
      <c r="A328" s="179">
        <v>9</v>
      </c>
      <c r="B328" s="480" t="s">
        <v>1939</v>
      </c>
      <c r="C328" s="481" t="s">
        <v>390</v>
      </c>
      <c r="D328" s="481">
        <v>32</v>
      </c>
      <c r="E328" s="793"/>
      <c r="F328" s="797"/>
      <c r="G328" s="665"/>
    </row>
    <row r="329" spans="1:7">
      <c r="A329" s="180"/>
      <c r="B329" s="181" t="s">
        <v>821</v>
      </c>
      <c r="C329" s="182"/>
      <c r="D329" s="182"/>
      <c r="E329" s="802"/>
      <c r="F329" s="812"/>
    </row>
    <row r="330" spans="1:7">
      <c r="A330" s="165"/>
      <c r="B330" s="183"/>
      <c r="C330" s="184"/>
      <c r="D330" s="184"/>
      <c r="E330" s="806"/>
      <c r="F330" s="807"/>
    </row>
    <row r="331" spans="1:7">
      <c r="A331" s="168">
        <v>4</v>
      </c>
      <c r="B331" s="177" t="s">
        <v>822</v>
      </c>
      <c r="C331" s="178"/>
      <c r="D331" s="178"/>
      <c r="E331" s="808"/>
      <c r="F331" s="809"/>
    </row>
    <row r="332" spans="1:7" ht="78.75">
      <c r="A332" s="179"/>
      <c r="B332" s="496" t="s">
        <v>1940</v>
      </c>
      <c r="C332" s="481"/>
      <c r="D332" s="481"/>
      <c r="E332" s="813"/>
      <c r="F332" s="797"/>
      <c r="G332" s="665"/>
    </row>
    <row r="333" spans="1:7">
      <c r="A333" s="179">
        <v>1</v>
      </c>
      <c r="B333" s="498" t="s">
        <v>823</v>
      </c>
      <c r="C333" s="504" t="s">
        <v>390</v>
      </c>
      <c r="D333" s="504">
        <v>115</v>
      </c>
      <c r="E333" s="814"/>
      <c r="F333" s="797"/>
    </row>
    <row r="334" spans="1:7">
      <c r="A334" s="179">
        <v>2</v>
      </c>
      <c r="B334" s="496" t="s">
        <v>824</v>
      </c>
      <c r="C334" s="481" t="s">
        <v>390</v>
      </c>
      <c r="D334" s="481">
        <v>12</v>
      </c>
      <c r="E334" s="813"/>
      <c r="F334" s="797"/>
    </row>
    <row r="335" spans="1:7">
      <c r="A335" s="179">
        <v>3</v>
      </c>
      <c r="B335" s="496" t="s">
        <v>825</v>
      </c>
      <c r="C335" s="481" t="s">
        <v>390</v>
      </c>
      <c r="D335" s="481">
        <v>1</v>
      </c>
      <c r="E335" s="813"/>
      <c r="F335" s="797"/>
    </row>
    <row r="336" spans="1:7">
      <c r="A336" s="179">
        <v>4</v>
      </c>
      <c r="B336" s="496" t="s">
        <v>826</v>
      </c>
      <c r="C336" s="481" t="s">
        <v>390</v>
      </c>
      <c r="D336" s="481">
        <v>3</v>
      </c>
      <c r="E336" s="813"/>
      <c r="F336" s="797"/>
    </row>
    <row r="337" spans="1:6">
      <c r="A337" s="179">
        <v>5</v>
      </c>
      <c r="B337" s="496" t="s">
        <v>827</v>
      </c>
      <c r="C337" s="481" t="s">
        <v>390</v>
      </c>
      <c r="D337" s="481">
        <v>4</v>
      </c>
      <c r="E337" s="813"/>
      <c r="F337" s="797"/>
    </row>
    <row r="338" spans="1:6">
      <c r="A338" s="179">
        <v>6</v>
      </c>
      <c r="B338" s="496" t="s">
        <v>828</v>
      </c>
      <c r="C338" s="481" t="s">
        <v>390</v>
      </c>
      <c r="D338" s="481">
        <v>12</v>
      </c>
      <c r="E338" s="813"/>
      <c r="F338" s="797"/>
    </row>
    <row r="339" spans="1:6" ht="47.25">
      <c r="A339" s="765">
        <v>7</v>
      </c>
      <c r="B339" s="496" t="s">
        <v>1901</v>
      </c>
      <c r="C339" s="481" t="s">
        <v>390</v>
      </c>
      <c r="D339" s="481">
        <v>366</v>
      </c>
      <c r="E339" s="813"/>
      <c r="F339" s="797"/>
    </row>
    <row r="340" spans="1:6" ht="47.25">
      <c r="A340" s="179">
        <v>8</v>
      </c>
      <c r="B340" s="480" t="s">
        <v>829</v>
      </c>
      <c r="C340" s="481" t="s">
        <v>390</v>
      </c>
      <c r="D340" s="481">
        <v>128</v>
      </c>
      <c r="E340" s="813"/>
      <c r="F340" s="797"/>
    </row>
    <row r="341" spans="1:6" ht="47.25">
      <c r="A341" s="179">
        <v>9</v>
      </c>
      <c r="B341" s="480" t="s">
        <v>830</v>
      </c>
      <c r="C341" s="481" t="s">
        <v>390</v>
      </c>
      <c r="D341" s="481">
        <v>370</v>
      </c>
      <c r="E341" s="813"/>
      <c r="F341" s="797"/>
    </row>
    <row r="342" spans="1:6" ht="63">
      <c r="A342" s="179">
        <v>10</v>
      </c>
      <c r="B342" s="480" t="s">
        <v>831</v>
      </c>
      <c r="C342" s="481" t="s">
        <v>390</v>
      </c>
      <c r="D342" s="481">
        <v>250</v>
      </c>
      <c r="E342" s="813"/>
      <c r="F342" s="797"/>
    </row>
    <row r="343" spans="1:6" ht="31.5">
      <c r="A343" s="179">
        <v>11</v>
      </c>
      <c r="B343" s="480" t="s">
        <v>832</v>
      </c>
      <c r="C343" s="481" t="s">
        <v>833</v>
      </c>
      <c r="D343" s="481">
        <v>1</v>
      </c>
      <c r="E343" s="813"/>
      <c r="F343" s="797"/>
    </row>
    <row r="344" spans="1:6">
      <c r="A344" s="765">
        <v>12</v>
      </c>
      <c r="B344" s="505" t="s">
        <v>834</v>
      </c>
      <c r="C344" s="481"/>
      <c r="D344" s="481"/>
      <c r="E344" s="793"/>
      <c r="F344" s="797"/>
    </row>
    <row r="345" spans="1:6">
      <c r="A345" s="179"/>
      <c r="B345" s="496" t="s">
        <v>835</v>
      </c>
      <c r="C345" s="481" t="s">
        <v>450</v>
      </c>
      <c r="D345" s="481">
        <v>200</v>
      </c>
      <c r="E345" s="793"/>
      <c r="F345" s="797"/>
    </row>
    <row r="346" spans="1:6">
      <c r="A346" s="179"/>
      <c r="B346" s="496" t="s">
        <v>836</v>
      </c>
      <c r="C346" s="481" t="s">
        <v>450</v>
      </c>
      <c r="D346" s="481">
        <v>150</v>
      </c>
      <c r="E346" s="793"/>
      <c r="F346" s="797"/>
    </row>
    <row r="347" spans="1:6">
      <c r="A347" s="180"/>
      <c r="B347" s="185" t="s">
        <v>837</v>
      </c>
      <c r="C347" s="182"/>
      <c r="D347" s="182"/>
      <c r="E347" s="802"/>
      <c r="F347" s="815"/>
    </row>
    <row r="348" spans="1:6">
      <c r="A348" s="162"/>
      <c r="B348" s="186"/>
      <c r="C348" s="187"/>
      <c r="D348" s="187"/>
      <c r="E348" s="816"/>
      <c r="F348" s="817"/>
    </row>
    <row r="349" spans="1:6">
      <c r="A349" s="188">
        <v>5</v>
      </c>
      <c r="B349" s="189" t="s">
        <v>838</v>
      </c>
      <c r="C349" s="190"/>
      <c r="D349" s="190"/>
      <c r="E349" s="819"/>
      <c r="F349" s="820"/>
    </row>
    <row r="350" spans="1:6" ht="63">
      <c r="A350" s="168">
        <v>1</v>
      </c>
      <c r="B350" s="191" t="s">
        <v>1536</v>
      </c>
      <c r="C350" s="178" t="s">
        <v>450</v>
      </c>
      <c r="D350" s="178">
        <v>4200</v>
      </c>
      <c r="E350" s="808"/>
      <c r="F350" s="809"/>
    </row>
    <row r="351" spans="1:6" ht="78.75">
      <c r="A351" s="179">
        <v>2</v>
      </c>
      <c r="B351" s="480" t="s">
        <v>1537</v>
      </c>
      <c r="C351" s="481" t="s">
        <v>390</v>
      </c>
      <c r="D351" s="481">
        <v>320</v>
      </c>
      <c r="E351" s="793"/>
      <c r="F351" s="797"/>
    </row>
    <row r="352" spans="1:6" ht="94.5">
      <c r="A352" s="179">
        <v>3</v>
      </c>
      <c r="B352" s="480" t="s">
        <v>1538</v>
      </c>
      <c r="C352" s="481" t="s">
        <v>390</v>
      </c>
      <c r="D352" s="481">
        <v>100</v>
      </c>
      <c r="E352" s="793"/>
      <c r="F352" s="797"/>
    </row>
    <row r="353" spans="1:6" ht="94.5">
      <c r="A353" s="179">
        <v>4</v>
      </c>
      <c r="B353" s="480" t="s">
        <v>1539</v>
      </c>
      <c r="C353" s="481" t="s">
        <v>390</v>
      </c>
      <c r="D353" s="481">
        <v>1300</v>
      </c>
      <c r="E353" s="793"/>
      <c r="F353" s="797"/>
    </row>
    <row r="354" spans="1:6" ht="78.75">
      <c r="A354" s="179">
        <v>5</v>
      </c>
      <c r="B354" s="480" t="s">
        <v>1540</v>
      </c>
      <c r="C354" s="481" t="s">
        <v>450</v>
      </c>
      <c r="D354" s="481">
        <v>50</v>
      </c>
      <c r="E354" s="793"/>
      <c r="F354" s="797"/>
    </row>
    <row r="355" spans="1:6" ht="63">
      <c r="A355" s="179">
        <v>6</v>
      </c>
      <c r="B355" s="480" t="s">
        <v>1541</v>
      </c>
      <c r="C355" s="481" t="s">
        <v>450</v>
      </c>
      <c r="D355" s="481">
        <v>20</v>
      </c>
      <c r="E355" s="793"/>
      <c r="F355" s="797"/>
    </row>
    <row r="356" spans="1:6">
      <c r="A356" s="180"/>
      <c r="B356" s="192" t="s">
        <v>839</v>
      </c>
      <c r="C356" s="182"/>
      <c r="D356" s="182"/>
      <c r="E356" s="802"/>
      <c r="F356" s="812"/>
    </row>
    <row r="357" spans="1:6">
      <c r="A357" s="193"/>
      <c r="B357" s="183"/>
      <c r="C357" s="194"/>
      <c r="D357" s="194"/>
      <c r="E357" s="821"/>
      <c r="F357" s="822"/>
    </row>
    <row r="358" spans="1:6">
      <c r="A358" s="188">
        <v>6</v>
      </c>
      <c r="B358" s="195" t="s">
        <v>840</v>
      </c>
      <c r="C358" s="190"/>
      <c r="D358" s="190"/>
      <c r="E358" s="682"/>
      <c r="F358" s="823"/>
    </row>
    <row r="359" spans="1:6">
      <c r="A359" s="193"/>
      <c r="B359" s="183"/>
      <c r="C359" s="194"/>
      <c r="D359" s="194"/>
      <c r="E359" s="821"/>
      <c r="F359" s="822"/>
    </row>
    <row r="360" spans="1:6" ht="63">
      <c r="A360" s="168">
        <v>1</v>
      </c>
      <c r="B360" s="191" t="s">
        <v>1941</v>
      </c>
      <c r="C360" s="196" t="s">
        <v>622</v>
      </c>
      <c r="D360" s="196">
        <v>1</v>
      </c>
      <c r="E360" s="824"/>
      <c r="F360" s="825"/>
    </row>
    <row r="361" spans="1:6" ht="78.75">
      <c r="A361" s="179">
        <v>2</v>
      </c>
      <c r="B361" s="480" t="s">
        <v>841</v>
      </c>
      <c r="C361" s="484" t="s">
        <v>622</v>
      </c>
      <c r="D361" s="484">
        <v>1</v>
      </c>
      <c r="E361" s="792"/>
      <c r="F361" s="825"/>
    </row>
    <row r="362" spans="1:6" ht="31.5">
      <c r="A362" s="179">
        <v>3</v>
      </c>
      <c r="B362" s="480" t="s">
        <v>842</v>
      </c>
      <c r="C362" s="484" t="s">
        <v>622</v>
      </c>
      <c r="D362" s="484">
        <v>1</v>
      </c>
      <c r="E362" s="792"/>
      <c r="F362" s="825"/>
    </row>
    <row r="363" spans="1:6" ht="78.75">
      <c r="A363" s="179">
        <v>4</v>
      </c>
      <c r="B363" s="480" t="s">
        <v>843</v>
      </c>
      <c r="C363" s="484" t="s">
        <v>622</v>
      </c>
      <c r="D363" s="484">
        <v>3</v>
      </c>
      <c r="E363" s="792"/>
      <c r="F363" s="825"/>
    </row>
    <row r="364" spans="1:6" ht="63">
      <c r="A364" s="179">
        <v>5</v>
      </c>
      <c r="B364" s="480" t="s">
        <v>844</v>
      </c>
      <c r="C364" s="484" t="s">
        <v>450</v>
      </c>
      <c r="D364" s="484">
        <v>3</v>
      </c>
      <c r="E364" s="792"/>
      <c r="F364" s="825"/>
    </row>
    <row r="365" spans="1:6" ht="93" customHeight="1">
      <c r="A365" s="179">
        <v>6</v>
      </c>
      <c r="B365" s="480" t="s">
        <v>845</v>
      </c>
      <c r="C365" s="484" t="s">
        <v>450</v>
      </c>
      <c r="D365" s="484">
        <v>70</v>
      </c>
      <c r="E365" s="792"/>
      <c r="F365" s="825"/>
    </row>
    <row r="366" spans="1:6" ht="126">
      <c r="A366" s="179">
        <v>7</v>
      </c>
      <c r="B366" s="480" t="s">
        <v>846</v>
      </c>
      <c r="C366" s="484" t="s">
        <v>450</v>
      </c>
      <c r="D366" s="484">
        <v>5</v>
      </c>
      <c r="E366" s="792"/>
      <c r="F366" s="825"/>
    </row>
    <row r="367" spans="1:6" ht="47.25">
      <c r="A367" s="179">
        <v>8</v>
      </c>
      <c r="B367" s="480" t="s">
        <v>847</v>
      </c>
      <c r="C367" s="484" t="s">
        <v>622</v>
      </c>
      <c r="D367" s="484">
        <v>2</v>
      </c>
      <c r="E367" s="792"/>
      <c r="F367" s="825"/>
    </row>
    <row r="368" spans="1:6" ht="47.25">
      <c r="A368" s="179">
        <v>9</v>
      </c>
      <c r="B368" s="480" t="s">
        <v>1542</v>
      </c>
      <c r="C368" s="484" t="s">
        <v>622</v>
      </c>
      <c r="D368" s="484">
        <v>1</v>
      </c>
      <c r="E368" s="792"/>
      <c r="F368" s="825"/>
    </row>
    <row r="369" spans="1:6" ht="31.5">
      <c r="A369" s="179">
        <v>10</v>
      </c>
      <c r="B369" s="480" t="s">
        <v>848</v>
      </c>
      <c r="C369" s="484" t="s">
        <v>849</v>
      </c>
      <c r="D369" s="484">
        <v>1</v>
      </c>
      <c r="E369" s="792"/>
      <c r="F369" s="825"/>
    </row>
    <row r="370" spans="1:6" ht="52.5" customHeight="1">
      <c r="A370" s="179">
        <v>11</v>
      </c>
      <c r="B370" s="480" t="s">
        <v>1902</v>
      </c>
      <c r="C370" s="484" t="s">
        <v>849</v>
      </c>
      <c r="D370" s="484">
        <v>1</v>
      </c>
      <c r="E370" s="792"/>
      <c r="F370" s="825"/>
    </row>
    <row r="371" spans="1:6" ht="63">
      <c r="A371" s="179">
        <v>12</v>
      </c>
      <c r="B371" s="480" t="s">
        <v>850</v>
      </c>
      <c r="C371" s="484" t="s">
        <v>631</v>
      </c>
      <c r="D371" s="484">
        <v>1</v>
      </c>
      <c r="E371" s="792"/>
      <c r="F371" s="825"/>
    </row>
    <row r="372" spans="1:6">
      <c r="A372" s="179"/>
      <c r="B372" s="480"/>
      <c r="C372" s="484"/>
      <c r="D372" s="484"/>
      <c r="E372" s="792"/>
      <c r="F372" s="826"/>
    </row>
    <row r="373" spans="1:6">
      <c r="A373" s="180"/>
      <c r="B373" s="192" t="s">
        <v>851</v>
      </c>
      <c r="C373" s="197"/>
      <c r="D373" s="197"/>
      <c r="E373" s="827"/>
      <c r="F373" s="828"/>
    </row>
    <row r="374" spans="1:6">
      <c r="A374" s="193"/>
      <c r="B374" s="198"/>
      <c r="C374" s="184"/>
      <c r="D374" s="184"/>
      <c r="E374" s="806"/>
      <c r="F374" s="807"/>
    </row>
    <row r="375" spans="1:6">
      <c r="A375" s="188"/>
      <c r="B375" s="195"/>
      <c r="C375" s="190"/>
      <c r="D375" s="190"/>
      <c r="E375" s="682"/>
      <c r="F375" s="823"/>
    </row>
    <row r="376" spans="1:6" ht="31.5">
      <c r="A376" s="188">
        <v>7</v>
      </c>
      <c r="B376" s="195" t="s">
        <v>852</v>
      </c>
      <c r="C376" s="190"/>
      <c r="D376" s="190"/>
      <c r="E376" s="682"/>
      <c r="F376" s="823"/>
    </row>
    <row r="377" spans="1:6">
      <c r="A377" s="193"/>
      <c r="B377" s="183"/>
      <c r="C377" s="194"/>
      <c r="D377" s="194"/>
      <c r="E377" s="821"/>
      <c r="F377" s="822"/>
    </row>
    <row r="378" spans="1:6" ht="110.25">
      <c r="A378" s="199">
        <v>1</v>
      </c>
      <c r="B378" s="191" t="s">
        <v>853</v>
      </c>
      <c r="C378" s="196" t="s">
        <v>390</v>
      </c>
      <c r="D378" s="196">
        <v>2</v>
      </c>
      <c r="E378" s="824"/>
      <c r="F378" s="825"/>
    </row>
    <row r="379" spans="1:6" ht="94.5">
      <c r="A379" s="200">
        <v>2</v>
      </c>
      <c r="B379" s="480" t="s">
        <v>1543</v>
      </c>
      <c r="C379" s="484" t="s">
        <v>450</v>
      </c>
      <c r="D379" s="484">
        <v>600</v>
      </c>
      <c r="E379" s="792"/>
      <c r="F379" s="825"/>
    </row>
    <row r="380" spans="1:6" ht="63">
      <c r="A380" s="200">
        <v>3</v>
      </c>
      <c r="B380" s="480" t="s">
        <v>1544</v>
      </c>
      <c r="C380" s="484" t="s">
        <v>390</v>
      </c>
      <c r="D380" s="484">
        <v>100</v>
      </c>
      <c r="E380" s="792"/>
      <c r="F380" s="825"/>
    </row>
    <row r="381" spans="1:6" ht="31.5">
      <c r="A381" s="200"/>
      <c r="B381" s="480" t="s">
        <v>1545</v>
      </c>
      <c r="C381" s="484"/>
      <c r="D381" s="484"/>
      <c r="E381" s="792"/>
      <c r="F381" s="825"/>
    </row>
    <row r="382" spans="1:6">
      <c r="A382" s="200"/>
      <c r="B382" s="480" t="s">
        <v>854</v>
      </c>
      <c r="C382" s="484" t="s">
        <v>390</v>
      </c>
      <c r="D382" s="484">
        <v>11</v>
      </c>
      <c r="E382" s="792"/>
      <c r="F382" s="825"/>
    </row>
    <row r="383" spans="1:6" ht="48.95" customHeight="1">
      <c r="A383" s="200"/>
      <c r="B383" s="480" t="s">
        <v>1546</v>
      </c>
      <c r="C383" s="484" t="s">
        <v>450</v>
      </c>
      <c r="D383" s="484">
        <v>120</v>
      </c>
      <c r="E383" s="792"/>
      <c r="F383" s="825"/>
    </row>
    <row r="384" spans="1:6" ht="31.5">
      <c r="A384" s="200"/>
      <c r="B384" s="480" t="s">
        <v>1547</v>
      </c>
      <c r="C384" s="484" t="s">
        <v>450</v>
      </c>
      <c r="D384" s="484">
        <v>130</v>
      </c>
      <c r="E384" s="792"/>
      <c r="F384" s="825"/>
    </row>
    <row r="385" spans="1:6" ht="31.5">
      <c r="A385" s="200">
        <v>4</v>
      </c>
      <c r="B385" s="480" t="s">
        <v>855</v>
      </c>
      <c r="C385" s="484"/>
      <c r="D385" s="484"/>
      <c r="E385" s="792"/>
      <c r="F385" s="825"/>
    </row>
    <row r="386" spans="1:6" ht="31.5">
      <c r="A386" s="200"/>
      <c r="B386" s="480" t="s">
        <v>1548</v>
      </c>
      <c r="C386" s="484" t="s">
        <v>390</v>
      </c>
      <c r="D386" s="484">
        <v>3</v>
      </c>
      <c r="E386" s="792"/>
      <c r="F386" s="825"/>
    </row>
    <row r="387" spans="1:6" ht="63">
      <c r="A387" s="200"/>
      <c r="B387" s="480" t="s">
        <v>1549</v>
      </c>
      <c r="C387" s="484" t="s">
        <v>450</v>
      </c>
      <c r="D387" s="484">
        <v>105</v>
      </c>
      <c r="E387" s="792"/>
      <c r="F387" s="825"/>
    </row>
    <row r="388" spans="1:6" ht="31.5">
      <c r="A388" s="200"/>
      <c r="B388" s="480" t="s">
        <v>1550</v>
      </c>
      <c r="C388" s="484" t="s">
        <v>450</v>
      </c>
      <c r="D388" s="484">
        <v>60</v>
      </c>
      <c r="E388" s="792"/>
      <c r="F388" s="825"/>
    </row>
    <row r="389" spans="1:6" ht="63">
      <c r="A389" s="200">
        <v>5</v>
      </c>
      <c r="B389" s="480" t="s">
        <v>856</v>
      </c>
      <c r="C389" s="484" t="s">
        <v>724</v>
      </c>
      <c r="D389" s="484">
        <v>1</v>
      </c>
      <c r="E389" s="792"/>
      <c r="F389" s="825"/>
    </row>
    <row r="390" spans="1:6">
      <c r="A390" s="200"/>
      <c r="B390" s="480"/>
      <c r="C390" s="484"/>
      <c r="D390" s="484"/>
      <c r="E390" s="792"/>
      <c r="F390" s="826"/>
    </row>
    <row r="391" spans="1:6">
      <c r="A391" s="201"/>
      <c r="B391" s="192" t="s">
        <v>857</v>
      </c>
      <c r="C391" s="197"/>
      <c r="D391" s="197"/>
      <c r="E391" s="827"/>
      <c r="F391" s="828"/>
    </row>
    <row r="392" spans="1:6">
      <c r="A392" s="165"/>
      <c r="B392" s="202"/>
      <c r="C392" s="184"/>
      <c r="D392" s="184"/>
      <c r="E392" s="806"/>
      <c r="F392" s="807"/>
    </row>
    <row r="393" spans="1:6">
      <c r="A393" s="188"/>
      <c r="B393" s="195"/>
      <c r="C393" s="190"/>
      <c r="D393" s="190"/>
      <c r="E393" s="682"/>
      <c r="F393" s="823"/>
    </row>
    <row r="394" spans="1:6">
      <c r="A394" s="199">
        <v>8</v>
      </c>
      <c r="B394" s="191" t="s">
        <v>1551</v>
      </c>
      <c r="C394" s="196"/>
      <c r="D394" s="196"/>
      <c r="E394" s="824"/>
      <c r="F394" s="825"/>
    </row>
    <row r="395" spans="1:6" ht="110.25">
      <c r="A395" s="200"/>
      <c r="B395" s="480" t="s">
        <v>1552</v>
      </c>
      <c r="C395" s="484" t="s">
        <v>390</v>
      </c>
      <c r="D395" s="484">
        <v>1</v>
      </c>
      <c r="E395" s="792"/>
      <c r="F395" s="826"/>
    </row>
    <row r="396" spans="1:6" ht="94.5">
      <c r="A396" s="200">
        <v>9</v>
      </c>
      <c r="B396" s="480" t="s">
        <v>1553</v>
      </c>
      <c r="C396" s="484"/>
      <c r="D396" s="484"/>
      <c r="E396" s="792"/>
      <c r="F396" s="826"/>
    </row>
    <row r="397" spans="1:6">
      <c r="A397" s="200"/>
      <c r="B397" s="480" t="s">
        <v>858</v>
      </c>
      <c r="C397" s="484"/>
      <c r="D397" s="484"/>
      <c r="E397" s="792"/>
      <c r="F397" s="826"/>
    </row>
    <row r="398" spans="1:6">
      <c r="A398" s="200"/>
      <c r="B398" s="480" t="s">
        <v>859</v>
      </c>
      <c r="C398" s="484"/>
      <c r="D398" s="484"/>
      <c r="E398" s="792"/>
      <c r="F398" s="826"/>
    </row>
    <row r="399" spans="1:6">
      <c r="A399" s="200"/>
      <c r="B399" s="480" t="s">
        <v>1554</v>
      </c>
      <c r="C399" s="484"/>
      <c r="D399" s="484"/>
      <c r="E399" s="792"/>
      <c r="F399" s="826"/>
    </row>
    <row r="400" spans="1:6">
      <c r="A400" s="200"/>
      <c r="B400" s="480" t="s">
        <v>860</v>
      </c>
      <c r="C400" s="484"/>
      <c r="D400" s="484"/>
      <c r="E400" s="792"/>
      <c r="F400" s="826"/>
    </row>
    <row r="401" spans="1:6">
      <c r="A401" s="200"/>
      <c r="B401" s="480" t="s">
        <v>1555</v>
      </c>
      <c r="C401" s="484"/>
      <c r="D401" s="484"/>
      <c r="E401" s="792"/>
      <c r="F401" s="826"/>
    </row>
    <row r="402" spans="1:6">
      <c r="A402" s="200"/>
      <c r="B402" s="480" t="s">
        <v>1556</v>
      </c>
      <c r="C402" s="484"/>
      <c r="D402" s="484"/>
      <c r="E402" s="792"/>
      <c r="F402" s="826"/>
    </row>
    <row r="403" spans="1:6">
      <c r="A403" s="200"/>
      <c r="B403" s="480" t="s">
        <v>861</v>
      </c>
      <c r="C403" s="484"/>
      <c r="D403" s="484"/>
      <c r="E403" s="792"/>
      <c r="F403" s="826"/>
    </row>
    <row r="404" spans="1:6" ht="31.5">
      <c r="A404" s="200"/>
      <c r="B404" s="480" t="s">
        <v>1557</v>
      </c>
      <c r="C404" s="484"/>
      <c r="D404" s="484"/>
      <c r="E404" s="792"/>
      <c r="F404" s="826"/>
    </row>
    <row r="405" spans="1:6">
      <c r="A405" s="200"/>
      <c r="B405" s="480" t="s">
        <v>1558</v>
      </c>
      <c r="C405" s="484"/>
      <c r="D405" s="484"/>
      <c r="E405" s="792"/>
      <c r="F405" s="826"/>
    </row>
    <row r="406" spans="1:6" ht="31.5">
      <c r="A406" s="200"/>
      <c r="B406" s="480" t="s">
        <v>1559</v>
      </c>
      <c r="C406" s="484"/>
      <c r="D406" s="484"/>
      <c r="E406" s="792"/>
      <c r="F406" s="826"/>
    </row>
    <row r="407" spans="1:6">
      <c r="A407" s="201"/>
      <c r="B407" s="192" t="s">
        <v>862</v>
      </c>
      <c r="C407" s="197" t="s">
        <v>390</v>
      </c>
      <c r="D407" s="197">
        <v>1</v>
      </c>
      <c r="E407" s="827"/>
      <c r="F407" s="829"/>
    </row>
    <row r="408" spans="1:6">
      <c r="A408" s="203"/>
      <c r="B408" s="195"/>
      <c r="C408" s="204"/>
      <c r="D408" s="204"/>
      <c r="E408" s="675"/>
      <c r="F408" s="675"/>
    </row>
    <row r="409" spans="1:6">
      <c r="A409" s="203"/>
      <c r="B409" s="195"/>
      <c r="C409" s="204"/>
      <c r="D409" s="204"/>
      <c r="E409" s="675"/>
      <c r="F409" s="675"/>
    </row>
    <row r="410" spans="1:6">
      <c r="A410" s="591"/>
      <c r="B410" s="57" t="s">
        <v>501</v>
      </c>
      <c r="C410" s="590"/>
      <c r="D410" s="590"/>
      <c r="E410" s="582"/>
      <c r="F410" s="830"/>
    </row>
    <row r="411" spans="1:6">
      <c r="A411" s="205"/>
      <c r="B411" s="206"/>
      <c r="C411" s="207"/>
      <c r="D411" s="207"/>
      <c r="E411" s="831"/>
      <c r="F411" s="832"/>
    </row>
    <row r="412" spans="1:6">
      <c r="A412" s="203">
        <v>1</v>
      </c>
      <c r="B412" s="208" t="s">
        <v>746</v>
      </c>
      <c r="C412" s="204"/>
      <c r="D412" s="204"/>
      <c r="E412" s="675"/>
      <c r="F412" s="675"/>
    </row>
    <row r="413" spans="1:6" ht="31.5">
      <c r="A413" s="209">
        <v>2</v>
      </c>
      <c r="B413" s="210" t="s">
        <v>863</v>
      </c>
      <c r="C413" s="211"/>
      <c r="D413" s="212"/>
      <c r="E413" s="833"/>
      <c r="F413" s="834"/>
    </row>
    <row r="414" spans="1:6">
      <c r="A414" s="209">
        <v>3</v>
      </c>
      <c r="B414" s="210" t="s">
        <v>820</v>
      </c>
      <c r="C414" s="213"/>
      <c r="D414" s="214"/>
      <c r="E414" s="835"/>
      <c r="F414" s="836"/>
    </row>
    <row r="415" spans="1:6">
      <c r="A415" s="209">
        <v>4</v>
      </c>
      <c r="B415" s="210" t="s">
        <v>822</v>
      </c>
      <c r="C415" s="213"/>
      <c r="D415" s="214"/>
      <c r="E415" s="835"/>
      <c r="F415" s="836"/>
    </row>
    <row r="416" spans="1:6">
      <c r="A416" s="209">
        <v>5</v>
      </c>
      <c r="B416" s="215" t="s">
        <v>838</v>
      </c>
      <c r="C416" s="213"/>
      <c r="D416" s="214"/>
      <c r="E416" s="835"/>
      <c r="F416" s="836"/>
    </row>
    <row r="417" spans="1:6">
      <c r="A417" s="209">
        <v>6</v>
      </c>
      <c r="B417" s="216" t="s">
        <v>840</v>
      </c>
      <c r="C417" s="213"/>
      <c r="D417" s="214"/>
      <c r="E417" s="835"/>
      <c r="F417" s="836"/>
    </row>
    <row r="418" spans="1:6" ht="31.5">
      <c r="A418" s="209">
        <v>7</v>
      </c>
      <c r="B418" s="215" t="s">
        <v>864</v>
      </c>
      <c r="C418" s="211"/>
      <c r="D418" s="212"/>
      <c r="E418" s="833"/>
      <c r="F418" s="834"/>
    </row>
    <row r="419" spans="1:6">
      <c r="A419" s="209" t="s">
        <v>341</v>
      </c>
      <c r="B419" s="217" t="s">
        <v>1551</v>
      </c>
      <c r="C419" s="212"/>
      <c r="D419" s="212"/>
      <c r="E419" s="833"/>
      <c r="F419" s="834"/>
    </row>
    <row r="420" spans="1:6">
      <c r="A420" s="209">
        <v>9</v>
      </c>
      <c r="B420" s="217" t="s">
        <v>865</v>
      </c>
      <c r="C420" s="212"/>
      <c r="D420" s="212"/>
      <c r="E420" s="833"/>
      <c r="F420" s="834"/>
    </row>
    <row r="421" spans="1:6">
      <c r="A421" s="218"/>
      <c r="B421" s="219" t="s">
        <v>866</v>
      </c>
      <c r="C421" s="212"/>
      <c r="D421" s="212"/>
      <c r="E421" s="833"/>
      <c r="F421" s="837"/>
    </row>
    <row r="422" spans="1:6">
      <c r="A422" s="220"/>
      <c r="B422" s="221"/>
      <c r="C422" s="207"/>
      <c r="D422" s="207"/>
      <c r="E422" s="831"/>
      <c r="F422" s="832"/>
    </row>
    <row r="423" spans="1:6">
      <c r="A423" s="222"/>
      <c r="B423" s="223"/>
      <c r="C423" s="224"/>
      <c r="D423" s="224"/>
      <c r="E423" s="838"/>
      <c r="F423" s="838"/>
    </row>
    <row r="424" spans="1:6">
      <c r="A424" s="591"/>
      <c r="B424" s="57"/>
      <c r="C424" s="590"/>
      <c r="D424" s="590"/>
      <c r="E424" s="582"/>
      <c r="F424" s="830"/>
    </row>
    <row r="425" spans="1:6">
      <c r="A425" s="591"/>
      <c r="B425" s="57"/>
      <c r="C425" s="590"/>
      <c r="D425" s="590"/>
      <c r="E425" s="582"/>
      <c r="F425" s="830"/>
    </row>
    <row r="426" spans="1:6">
      <c r="A426" s="639" t="s">
        <v>867</v>
      </c>
      <c r="B426" s="1055" t="s">
        <v>1390</v>
      </c>
      <c r="C426" s="1055"/>
      <c r="D426" s="1055"/>
      <c r="E426" s="1055"/>
      <c r="F426" s="1055"/>
    </row>
    <row r="427" spans="1:6">
      <c r="A427" s="639"/>
      <c r="B427" s="579"/>
      <c r="C427" s="225"/>
      <c r="D427" s="225"/>
      <c r="E427" s="839"/>
      <c r="F427" s="840"/>
    </row>
    <row r="428" spans="1:6" ht="157.5">
      <c r="A428" s="226">
        <v>1</v>
      </c>
      <c r="B428" s="227" t="s">
        <v>1903</v>
      </c>
      <c r="C428" s="228" t="s">
        <v>450</v>
      </c>
      <c r="D428" s="228">
        <v>100</v>
      </c>
      <c r="E428" s="841"/>
      <c r="F428" s="842"/>
    </row>
    <row r="429" spans="1:6" ht="94.5">
      <c r="A429" s="229">
        <v>2</v>
      </c>
      <c r="B429" s="491" t="s">
        <v>868</v>
      </c>
      <c r="C429" s="487"/>
      <c r="D429" s="506"/>
      <c r="E429" s="1048"/>
      <c r="F429" s="1049"/>
    </row>
    <row r="430" spans="1:6" ht="94.5">
      <c r="A430" s="230"/>
      <c r="B430" s="491" t="s">
        <v>869</v>
      </c>
      <c r="C430" s="487"/>
      <c r="D430" s="506"/>
      <c r="E430" s="1050"/>
      <c r="F430" s="1051"/>
    </row>
    <row r="431" spans="1:6" ht="94.5">
      <c r="A431" s="230"/>
      <c r="B431" s="491" t="s">
        <v>870</v>
      </c>
      <c r="C431" s="487"/>
      <c r="D431" s="506"/>
      <c r="E431" s="1052"/>
      <c r="F431" s="1053"/>
    </row>
    <row r="432" spans="1:6" ht="126">
      <c r="A432" s="230"/>
      <c r="B432" s="491" t="s">
        <v>1560</v>
      </c>
      <c r="C432" s="507" t="s">
        <v>390</v>
      </c>
      <c r="D432" s="507">
        <v>5</v>
      </c>
      <c r="E432" s="843"/>
      <c r="F432" s="844"/>
    </row>
    <row r="433" spans="1:6">
      <c r="A433" s="230"/>
      <c r="B433" s="491"/>
      <c r="C433" s="507"/>
      <c r="D433" s="507"/>
      <c r="E433" s="843"/>
      <c r="F433" s="844"/>
    </row>
    <row r="434" spans="1:6" ht="47.25">
      <c r="A434" s="229">
        <v>3</v>
      </c>
      <c r="B434" s="491" t="s">
        <v>871</v>
      </c>
      <c r="C434" s="507" t="s">
        <v>390</v>
      </c>
      <c r="D434" s="507">
        <v>2</v>
      </c>
      <c r="E434" s="843"/>
      <c r="F434" s="844"/>
    </row>
    <row r="435" spans="1:6">
      <c r="A435" s="230"/>
      <c r="B435" s="508"/>
      <c r="C435" s="509"/>
      <c r="D435" s="509"/>
      <c r="E435" s="845"/>
      <c r="F435" s="801"/>
    </row>
    <row r="436" spans="1:6" ht="47.25">
      <c r="A436" s="229">
        <v>4</v>
      </c>
      <c r="B436" s="491" t="s">
        <v>872</v>
      </c>
      <c r="C436" s="507" t="s">
        <v>390</v>
      </c>
      <c r="D436" s="507">
        <v>1</v>
      </c>
      <c r="E436" s="843"/>
      <c r="F436" s="844"/>
    </row>
    <row r="437" spans="1:6">
      <c r="A437" s="230"/>
      <c r="B437" s="508"/>
      <c r="C437" s="509"/>
      <c r="D437" s="509"/>
      <c r="E437" s="845"/>
      <c r="F437" s="801"/>
    </row>
    <row r="438" spans="1:6" ht="108.95" customHeight="1">
      <c r="A438" s="229">
        <v>5</v>
      </c>
      <c r="B438" s="491" t="s">
        <v>873</v>
      </c>
      <c r="C438" s="507" t="s">
        <v>450</v>
      </c>
      <c r="D438" s="507">
        <v>100</v>
      </c>
      <c r="E438" s="843"/>
      <c r="F438" s="844"/>
    </row>
    <row r="439" spans="1:6">
      <c r="A439" s="230"/>
      <c r="B439" s="508"/>
      <c r="C439" s="509"/>
      <c r="D439" s="509"/>
      <c r="E439" s="845"/>
      <c r="F439" s="801"/>
    </row>
    <row r="440" spans="1:6" ht="110.25">
      <c r="A440" s="229">
        <v>6</v>
      </c>
      <c r="B440" s="491" t="s">
        <v>874</v>
      </c>
      <c r="C440" s="507" t="s">
        <v>390</v>
      </c>
      <c r="D440" s="507">
        <v>5</v>
      </c>
      <c r="E440" s="843"/>
      <c r="F440" s="844"/>
    </row>
    <row r="441" spans="1:6">
      <c r="A441" s="230"/>
      <c r="B441" s="510"/>
      <c r="C441" s="509"/>
      <c r="D441" s="509"/>
      <c r="E441" s="845"/>
      <c r="F441" s="801"/>
    </row>
    <row r="442" spans="1:6" ht="47.25">
      <c r="A442" s="229">
        <v>7</v>
      </c>
      <c r="B442" s="491" t="s">
        <v>1561</v>
      </c>
      <c r="C442" s="507" t="s">
        <v>390</v>
      </c>
      <c r="D442" s="507">
        <v>5</v>
      </c>
      <c r="E442" s="843"/>
      <c r="F442" s="844"/>
    </row>
    <row r="443" spans="1:6">
      <c r="A443" s="229"/>
      <c r="B443" s="491"/>
      <c r="C443" s="507"/>
      <c r="D443" s="507"/>
      <c r="E443" s="843"/>
      <c r="F443" s="844"/>
    </row>
    <row r="444" spans="1:6" ht="31.5">
      <c r="A444" s="229">
        <v>8</v>
      </c>
      <c r="B444" s="491" t="s">
        <v>875</v>
      </c>
      <c r="C444" s="511"/>
      <c r="D444" s="511"/>
      <c r="E444" s="843"/>
      <c r="F444" s="844"/>
    </row>
    <row r="445" spans="1:6">
      <c r="A445" s="231"/>
      <c r="B445" s="491" t="s">
        <v>876</v>
      </c>
      <c r="C445" s="512" t="s">
        <v>877</v>
      </c>
      <c r="D445" s="513">
        <v>16</v>
      </c>
      <c r="E445" s="843"/>
      <c r="F445" s="844"/>
    </row>
    <row r="446" spans="1:6">
      <c r="A446" s="231"/>
      <c r="B446" s="491" t="s">
        <v>342</v>
      </c>
      <c r="C446" s="512"/>
      <c r="D446" s="513"/>
      <c r="E446" s="843"/>
      <c r="F446" s="844"/>
    </row>
    <row r="447" spans="1:6" ht="19.5" customHeight="1">
      <c r="A447" s="231" t="s">
        <v>343</v>
      </c>
      <c r="B447" s="491" t="s">
        <v>1562</v>
      </c>
      <c r="C447" s="511"/>
      <c r="D447" s="511"/>
      <c r="E447" s="843"/>
      <c r="F447" s="844"/>
    </row>
    <row r="448" spans="1:6" ht="341.25" customHeight="1">
      <c r="A448" s="231"/>
      <c r="B448" s="491" t="s">
        <v>1904</v>
      </c>
      <c r="C448" s="512" t="s">
        <v>390</v>
      </c>
      <c r="D448" s="513">
        <v>5</v>
      </c>
      <c r="E448" s="843"/>
      <c r="F448" s="844"/>
    </row>
    <row r="449" spans="1:6" ht="26.25" customHeight="1">
      <c r="A449" s="231"/>
      <c r="B449" s="491" t="s">
        <v>878</v>
      </c>
      <c r="C449" s="511" t="s">
        <v>390</v>
      </c>
      <c r="D449" s="511">
        <v>5</v>
      </c>
      <c r="E449" s="843"/>
      <c r="F449" s="844"/>
    </row>
    <row r="450" spans="1:6" ht="317.25" customHeight="1">
      <c r="A450" s="231"/>
      <c r="B450" s="491" t="s">
        <v>1942</v>
      </c>
      <c r="C450" s="512" t="s">
        <v>390</v>
      </c>
      <c r="D450" s="513">
        <v>1</v>
      </c>
      <c r="E450" s="843"/>
      <c r="F450" s="844"/>
    </row>
    <row r="451" spans="1:6" ht="31.5" customHeight="1">
      <c r="A451" s="231"/>
      <c r="B451" s="491" t="s">
        <v>879</v>
      </c>
      <c r="C451" s="511" t="s">
        <v>390</v>
      </c>
      <c r="D451" s="511">
        <v>1</v>
      </c>
      <c r="E451" s="843"/>
      <c r="F451" s="844"/>
    </row>
    <row r="452" spans="1:6" ht="329.25" customHeight="1">
      <c r="A452" s="231"/>
      <c r="B452" s="491" t="s">
        <v>1943</v>
      </c>
      <c r="C452" s="512" t="s">
        <v>390</v>
      </c>
      <c r="D452" s="513">
        <v>2</v>
      </c>
      <c r="E452" s="843"/>
      <c r="F452" s="844"/>
    </row>
    <row r="453" spans="1:6">
      <c r="A453" s="231"/>
      <c r="B453" s="491" t="s">
        <v>878</v>
      </c>
      <c r="C453" s="511" t="s">
        <v>390</v>
      </c>
      <c r="D453" s="511">
        <v>2</v>
      </c>
      <c r="E453" s="843"/>
      <c r="F453" s="844"/>
    </row>
    <row r="454" spans="1:6">
      <c r="A454" s="232"/>
      <c r="B454" s="233"/>
      <c r="C454" s="234"/>
      <c r="D454" s="234"/>
      <c r="E454" s="846"/>
      <c r="F454" s="847"/>
    </row>
    <row r="455" spans="1:6">
      <c r="A455" s="235"/>
      <c r="B455" s="579" t="s">
        <v>1391</v>
      </c>
      <c r="C455" s="225"/>
      <c r="D455" s="225"/>
      <c r="E455" s="839"/>
      <c r="F455" s="848">
        <f>SUM(F428:F454)</f>
        <v>0</v>
      </c>
    </row>
    <row r="456" spans="1:6">
      <c r="A456" s="235"/>
      <c r="B456" s="579"/>
      <c r="C456" s="225"/>
      <c r="D456" s="225"/>
      <c r="E456" s="839"/>
      <c r="F456" s="848"/>
    </row>
    <row r="457" spans="1:6">
      <c r="A457" s="591"/>
      <c r="B457" s="57"/>
      <c r="C457" s="590"/>
      <c r="D457" s="590"/>
      <c r="E457" s="582"/>
      <c r="F457" s="830"/>
    </row>
    <row r="458" spans="1:6">
      <c r="A458" s="591"/>
      <c r="B458" s="236" t="s">
        <v>501</v>
      </c>
      <c r="C458" s="766"/>
      <c r="D458" s="766"/>
      <c r="E458" s="849"/>
      <c r="F458" s="850"/>
    </row>
    <row r="459" spans="1:6">
      <c r="A459" s="591"/>
      <c r="B459" s="237"/>
      <c r="C459" s="190"/>
      <c r="D459" s="190"/>
      <c r="E459" s="818"/>
      <c r="F459" s="823"/>
    </row>
    <row r="460" spans="1:6">
      <c r="A460" s="591"/>
      <c r="B460" s="767" t="s">
        <v>880</v>
      </c>
      <c r="C460" s="639"/>
      <c r="D460" s="639"/>
      <c r="E460" s="851"/>
      <c r="F460" s="852">
        <f>F421</f>
        <v>0</v>
      </c>
    </row>
    <row r="461" spans="1:6">
      <c r="A461" s="591"/>
      <c r="B461" s="767" t="s">
        <v>881</v>
      </c>
      <c r="C461" s="190"/>
      <c r="D461" s="190"/>
      <c r="E461" s="818"/>
      <c r="F461" s="823"/>
    </row>
    <row r="462" spans="1:6">
      <c r="A462" s="591"/>
      <c r="B462" s="238" t="s">
        <v>882</v>
      </c>
      <c r="C462" s="768"/>
      <c r="D462" s="768"/>
      <c r="E462" s="853"/>
      <c r="F462" s="854"/>
    </row>
    <row r="463" spans="1:6">
      <c r="A463" s="591"/>
      <c r="B463" s="57"/>
      <c r="C463" s="590"/>
      <c r="D463" s="590"/>
      <c r="E463" s="582"/>
      <c r="F463" s="830"/>
    </row>
    <row r="464" spans="1:6">
      <c r="A464" s="591"/>
      <c r="B464" s="57"/>
      <c r="C464" s="590"/>
      <c r="D464" s="590"/>
      <c r="E464" s="582"/>
      <c r="F464" s="830"/>
    </row>
    <row r="465" spans="1:6">
      <c r="A465" s="591"/>
      <c r="B465" s="57"/>
      <c r="C465" s="590"/>
      <c r="D465" s="590"/>
      <c r="E465" s="582"/>
      <c r="F465" s="830"/>
    </row>
    <row r="466" spans="1:6">
      <c r="A466" s="591"/>
      <c r="B466" s="57"/>
      <c r="C466" s="590"/>
      <c r="D466" s="590"/>
      <c r="E466" s="582"/>
      <c r="F466" s="830"/>
    </row>
    <row r="467" spans="1:6">
      <c r="A467" s="591"/>
      <c r="B467" s="57"/>
      <c r="C467" s="590"/>
      <c r="D467" s="590"/>
      <c r="E467" s="582"/>
      <c r="F467" s="830"/>
    </row>
    <row r="468" spans="1:6">
      <c r="A468" s="591"/>
      <c r="B468" s="57"/>
      <c r="C468" s="590"/>
      <c r="D468" s="590"/>
      <c r="E468" s="582"/>
      <c r="F468" s="830"/>
    </row>
    <row r="469" spans="1:6">
      <c r="A469" s="591"/>
      <c r="B469" s="57"/>
      <c r="C469" s="590"/>
      <c r="D469" s="590"/>
      <c r="E469" s="582"/>
      <c r="F469" s="830"/>
    </row>
    <row r="470" spans="1:6">
      <c r="A470" s="514"/>
      <c r="B470" s="514"/>
      <c r="C470" s="577"/>
      <c r="D470" s="577"/>
      <c r="E470" s="855"/>
      <c r="F470" s="856"/>
    </row>
  </sheetData>
  <mergeCells count="20">
    <mergeCell ref="E198:F216"/>
    <mergeCell ref="E219:F237"/>
    <mergeCell ref="E239:F257"/>
    <mergeCell ref="E260:F283"/>
    <mergeCell ref="E286:F298"/>
    <mergeCell ref="E301:F312"/>
    <mergeCell ref="E429:F431"/>
    <mergeCell ref="A3:F3"/>
    <mergeCell ref="B426:F426"/>
    <mergeCell ref="E29:F45"/>
    <mergeCell ref="E47:F48"/>
    <mergeCell ref="E50:F59"/>
    <mergeCell ref="E63:F69"/>
    <mergeCell ref="E71:F72"/>
    <mergeCell ref="E77:F89"/>
    <mergeCell ref="E93:F111"/>
    <mergeCell ref="E114:F132"/>
    <mergeCell ref="E135:F153"/>
    <mergeCell ref="E156:F174"/>
    <mergeCell ref="E177:F195"/>
  </mergeCells>
  <conditionalFormatting sqref="F455:F456 E436:F436 E438:F438 E440:F440 E442:F454 F460 E428:F428 E429 E432:F434">
    <cfRule type="cellIs" dxfId="0" priority="1" stopIfTrue="1" operator="equal">
      <formula>0</formula>
    </cfRule>
  </conditionalFormatting>
  <pageMargins left="0.7" right="0.7" top="0.75" bottom="0.75" header="0.3" footer="0.3"/>
  <pageSetup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view="pageBreakPreview" zoomScale="80" zoomScaleNormal="80" zoomScaleSheetLayoutView="80" workbookViewId="0">
      <selection activeCell="J187" sqref="J186:J187"/>
    </sheetView>
  </sheetViews>
  <sheetFormatPr defaultRowHeight="15.75"/>
  <cols>
    <col min="1" max="1" width="5.875" customWidth="1"/>
    <col min="2" max="2" width="8.875" customWidth="1"/>
    <col min="3" max="3" width="37.625" customWidth="1"/>
    <col min="5" max="5" width="9.125" bestFit="1" customWidth="1"/>
    <col min="6" max="6" width="11.375" bestFit="1" customWidth="1"/>
    <col min="7" max="7" width="22.375" bestFit="1" customWidth="1"/>
  </cols>
  <sheetData>
    <row r="1" spans="1:7" ht="47.25" customHeight="1">
      <c r="A1" s="390"/>
      <c r="B1" s="390"/>
      <c r="C1" s="1089" t="s">
        <v>701</v>
      </c>
      <c r="D1" s="1089"/>
      <c r="E1" s="1089"/>
      <c r="F1" s="1089"/>
      <c r="G1" s="391"/>
    </row>
    <row r="2" spans="1:7" s="247" customFormat="1" ht="330.75" customHeight="1">
      <c r="A2" s="1090" t="s">
        <v>1906</v>
      </c>
      <c r="B2" s="1090"/>
      <c r="C2" s="1090"/>
      <c r="D2" s="1090"/>
      <c r="E2" s="1090"/>
      <c r="F2" s="1090"/>
      <c r="G2" s="1090"/>
    </row>
    <row r="3" spans="1:7">
      <c r="A3" s="390"/>
      <c r="B3" s="390"/>
      <c r="C3" s="392"/>
      <c r="D3" s="393"/>
      <c r="E3" s="390"/>
      <c r="F3" s="390"/>
      <c r="G3" s="391"/>
    </row>
    <row r="4" spans="1:7">
      <c r="A4" s="390"/>
      <c r="B4" s="472"/>
      <c r="C4" s="394" t="s">
        <v>702</v>
      </c>
      <c r="D4" s="472"/>
      <c r="E4" s="395"/>
      <c r="F4" s="396"/>
      <c r="G4" s="395"/>
    </row>
    <row r="5" spans="1:7" ht="51" customHeight="1">
      <c r="A5" s="390"/>
      <c r="B5" s="472"/>
      <c r="C5" s="1091" t="s">
        <v>1632</v>
      </c>
      <c r="D5" s="1092"/>
      <c r="E5" s="1092"/>
      <c r="F5" s="1092"/>
      <c r="G5" s="1092"/>
    </row>
    <row r="6" spans="1:7">
      <c r="A6" s="390"/>
      <c r="B6" s="472"/>
      <c r="C6" s="1092"/>
      <c r="D6" s="1092"/>
      <c r="E6" s="1092"/>
      <c r="F6" s="1092"/>
      <c r="G6" s="1092"/>
    </row>
    <row r="7" spans="1:7">
      <c r="A7" s="390"/>
      <c r="B7" s="472"/>
      <c r="C7" s="394" t="s">
        <v>702</v>
      </c>
      <c r="D7" s="472"/>
      <c r="E7" s="395"/>
      <c r="F7" s="396"/>
      <c r="G7" s="395"/>
    </row>
    <row r="8" spans="1:7">
      <c r="A8" s="390"/>
      <c r="B8" s="472"/>
      <c r="C8" s="1088" t="s">
        <v>1633</v>
      </c>
      <c r="D8" s="1088"/>
      <c r="E8" s="1088"/>
      <c r="F8" s="1088"/>
      <c r="G8" s="1088"/>
    </row>
    <row r="9" spans="1:7">
      <c r="A9" s="390"/>
      <c r="B9" s="472"/>
      <c r="C9" s="473" t="s">
        <v>1634</v>
      </c>
      <c r="D9" s="473"/>
      <c r="E9" s="473"/>
      <c r="F9" s="473"/>
      <c r="G9" s="473"/>
    </row>
    <row r="10" spans="1:7">
      <c r="A10" s="390"/>
      <c r="B10" s="472"/>
      <c r="C10" s="1088" t="s">
        <v>1635</v>
      </c>
      <c r="D10" s="1088"/>
      <c r="E10" s="1088"/>
      <c r="F10" s="1088"/>
      <c r="G10" s="1088"/>
    </row>
    <row r="11" spans="1:7">
      <c r="A11" s="390"/>
      <c r="B11" s="390"/>
      <c r="C11" s="1087"/>
      <c r="D11" s="1087"/>
      <c r="E11" s="1087"/>
      <c r="F11" s="1087"/>
      <c r="G11" s="1087"/>
    </row>
    <row r="12" spans="1:7">
      <c r="A12" s="390"/>
      <c r="B12" s="390"/>
      <c r="C12" s="390"/>
      <c r="D12" s="390"/>
      <c r="E12" s="397"/>
      <c r="F12" s="398"/>
      <c r="G12" s="399"/>
    </row>
    <row r="13" spans="1:7" ht="47.25">
      <c r="A13" s="400" t="s">
        <v>703</v>
      </c>
      <c r="B13" s="400" t="s">
        <v>704</v>
      </c>
      <c r="C13" s="401" t="s">
        <v>705</v>
      </c>
      <c r="D13" s="402" t="s">
        <v>706</v>
      </c>
      <c r="E13" s="402" t="s">
        <v>707</v>
      </c>
      <c r="F13" s="403" t="s">
        <v>1636</v>
      </c>
      <c r="G13" s="404" t="s">
        <v>708</v>
      </c>
    </row>
    <row r="14" spans="1:7">
      <c r="A14" s="405"/>
      <c r="B14" s="405"/>
      <c r="C14" s="406"/>
      <c r="D14" s="407"/>
      <c r="E14" s="405"/>
      <c r="F14" s="405"/>
      <c r="G14" s="408"/>
    </row>
    <row r="15" spans="1:7">
      <c r="A15" s="409"/>
      <c r="B15" s="410"/>
      <c r="C15" s="411" t="s">
        <v>1637</v>
      </c>
      <c r="D15" s="402"/>
      <c r="E15" s="402"/>
      <c r="F15" s="403"/>
      <c r="G15" s="412"/>
    </row>
    <row r="16" spans="1:7">
      <c r="A16" s="413"/>
      <c r="B16" s="413"/>
      <c r="C16" s="414"/>
      <c r="D16" s="413"/>
      <c r="E16" s="413"/>
      <c r="F16" s="415"/>
      <c r="G16" s="415"/>
    </row>
    <row r="17" spans="1:7" ht="236.25">
      <c r="A17" s="416">
        <v>1</v>
      </c>
      <c r="B17" s="417" t="s">
        <v>1638</v>
      </c>
      <c r="C17" s="414" t="s">
        <v>1639</v>
      </c>
      <c r="D17" s="413"/>
      <c r="E17" s="418"/>
      <c r="F17" s="1081"/>
      <c r="G17" s="1082"/>
    </row>
    <row r="18" spans="1:7" ht="31.5">
      <c r="A18" s="416">
        <v>2</v>
      </c>
      <c r="B18" s="419"/>
      <c r="C18" s="414" t="s">
        <v>709</v>
      </c>
      <c r="D18" s="413" t="s">
        <v>390</v>
      </c>
      <c r="E18" s="413">
        <v>1</v>
      </c>
      <c r="F18" s="1083"/>
      <c r="G18" s="1084"/>
    </row>
    <row r="19" spans="1:7" ht="47.25">
      <c r="A19" s="416">
        <v>3</v>
      </c>
      <c r="B19" s="419"/>
      <c r="C19" s="414" t="s">
        <v>710</v>
      </c>
      <c r="D19" s="413" t="s">
        <v>390</v>
      </c>
      <c r="E19" s="420">
        <v>2</v>
      </c>
      <c r="F19" s="1083"/>
      <c r="G19" s="1084"/>
    </row>
    <row r="20" spans="1:7" ht="47.25">
      <c r="A20" s="416">
        <v>4</v>
      </c>
      <c r="B20" s="419"/>
      <c r="C20" s="414" t="s">
        <v>711</v>
      </c>
      <c r="D20" s="413" t="s">
        <v>390</v>
      </c>
      <c r="E20" s="420">
        <v>2</v>
      </c>
      <c r="F20" s="1085"/>
      <c r="G20" s="1086"/>
    </row>
    <row r="21" spans="1:7">
      <c r="A21" s="416">
        <v>5</v>
      </c>
      <c r="B21" s="421"/>
      <c r="C21" s="414" t="s">
        <v>712</v>
      </c>
      <c r="D21" s="413" t="s">
        <v>713</v>
      </c>
      <c r="E21" s="420">
        <v>1</v>
      </c>
      <c r="F21" s="415"/>
      <c r="G21" s="415"/>
    </row>
    <row r="22" spans="1:7">
      <c r="A22" s="416"/>
      <c r="B22" s="413"/>
      <c r="C22" s="414"/>
      <c r="D22" s="413"/>
      <c r="E22" s="420"/>
      <c r="F22" s="415"/>
      <c r="G22" s="415"/>
    </row>
    <row r="23" spans="1:7" ht="236.25">
      <c r="A23" s="416">
        <v>6</v>
      </c>
      <c r="B23" s="417" t="s">
        <v>1640</v>
      </c>
      <c r="C23" s="414" t="s">
        <v>1641</v>
      </c>
      <c r="D23" s="413"/>
      <c r="E23" s="418"/>
      <c r="F23" s="1081"/>
      <c r="G23" s="1082"/>
    </row>
    <row r="24" spans="1:7" ht="31.5">
      <c r="A24" s="416">
        <v>7</v>
      </c>
      <c r="B24" s="419"/>
      <c r="C24" s="414" t="s">
        <v>709</v>
      </c>
      <c r="D24" s="413" t="s">
        <v>390</v>
      </c>
      <c r="E24" s="413">
        <v>1</v>
      </c>
      <c r="F24" s="1083"/>
      <c r="G24" s="1084"/>
    </row>
    <row r="25" spans="1:7" ht="47.25">
      <c r="A25" s="416">
        <v>8</v>
      </c>
      <c r="B25" s="419"/>
      <c r="C25" s="414" t="s">
        <v>710</v>
      </c>
      <c r="D25" s="413" t="s">
        <v>390</v>
      </c>
      <c r="E25" s="420">
        <v>2</v>
      </c>
      <c r="F25" s="1083"/>
      <c r="G25" s="1084"/>
    </row>
    <row r="26" spans="1:7" ht="47.25">
      <c r="A26" s="416">
        <v>9</v>
      </c>
      <c r="B26" s="419"/>
      <c r="C26" s="414" t="s">
        <v>711</v>
      </c>
      <c r="D26" s="413" t="s">
        <v>390</v>
      </c>
      <c r="E26" s="420">
        <v>2</v>
      </c>
      <c r="F26" s="1085"/>
      <c r="G26" s="1086"/>
    </row>
    <row r="27" spans="1:7">
      <c r="A27" s="416">
        <v>10</v>
      </c>
      <c r="B27" s="421"/>
      <c r="C27" s="414" t="s">
        <v>712</v>
      </c>
      <c r="D27" s="413" t="s">
        <v>713</v>
      </c>
      <c r="E27" s="420">
        <v>2</v>
      </c>
      <c r="F27" s="415"/>
      <c r="G27" s="415"/>
    </row>
    <row r="28" spans="1:7">
      <c r="A28" s="416"/>
      <c r="B28" s="413"/>
      <c r="C28" s="414"/>
      <c r="D28" s="413"/>
      <c r="E28" s="420"/>
      <c r="F28" s="415"/>
      <c r="G28" s="415"/>
    </row>
    <row r="29" spans="1:7" ht="157.5">
      <c r="A29" s="416">
        <v>11</v>
      </c>
      <c r="B29" s="416" t="s">
        <v>1642</v>
      </c>
      <c r="C29" s="422" t="s">
        <v>1643</v>
      </c>
      <c r="D29" s="413" t="s">
        <v>713</v>
      </c>
      <c r="E29" s="420">
        <v>3</v>
      </c>
      <c r="F29" s="423"/>
      <c r="G29" s="423"/>
    </row>
    <row r="30" spans="1:7">
      <c r="A30" s="416"/>
      <c r="B30" s="413"/>
      <c r="C30" s="414"/>
      <c r="D30" s="413"/>
      <c r="E30" s="420"/>
      <c r="F30" s="415"/>
      <c r="G30" s="423"/>
    </row>
    <row r="31" spans="1:7" ht="63">
      <c r="A31" s="416">
        <v>12</v>
      </c>
      <c r="B31" s="417" t="s">
        <v>1644</v>
      </c>
      <c r="C31" s="414" t="s">
        <v>714</v>
      </c>
      <c r="D31" s="413"/>
      <c r="E31" s="420"/>
      <c r="F31" s="1081"/>
      <c r="G31" s="1082"/>
    </row>
    <row r="32" spans="1:7" ht="31.5">
      <c r="A32" s="416">
        <v>13</v>
      </c>
      <c r="B32" s="419"/>
      <c r="C32" s="414" t="s">
        <v>1645</v>
      </c>
      <c r="D32" s="413" t="s">
        <v>390</v>
      </c>
      <c r="E32" s="420">
        <v>1</v>
      </c>
      <c r="F32" s="1083"/>
      <c r="G32" s="1084"/>
    </row>
    <row r="33" spans="1:7" ht="31.5">
      <c r="A33" s="416">
        <v>14</v>
      </c>
      <c r="B33" s="419"/>
      <c r="C33" s="414" t="s">
        <v>715</v>
      </c>
      <c r="D33" s="413" t="s">
        <v>390</v>
      </c>
      <c r="E33" s="420">
        <v>48</v>
      </c>
      <c r="F33" s="1085"/>
      <c r="G33" s="1086"/>
    </row>
    <row r="34" spans="1:7" ht="47.25">
      <c r="A34" s="416">
        <v>15</v>
      </c>
      <c r="B34" s="421"/>
      <c r="C34" s="414" t="s">
        <v>716</v>
      </c>
      <c r="D34" s="413" t="s">
        <v>717</v>
      </c>
      <c r="E34" s="420">
        <v>3</v>
      </c>
      <c r="F34" s="415"/>
      <c r="G34" s="423"/>
    </row>
    <row r="35" spans="1:7">
      <c r="A35" s="416"/>
      <c r="B35" s="413"/>
      <c r="C35" s="414"/>
      <c r="D35" s="413"/>
      <c r="E35" s="420"/>
      <c r="F35" s="415"/>
      <c r="G35" s="423"/>
    </row>
    <row r="36" spans="1:7" ht="63">
      <c r="A36" s="416">
        <v>16</v>
      </c>
      <c r="B36" s="417" t="s">
        <v>1646</v>
      </c>
      <c r="C36" s="414" t="s">
        <v>718</v>
      </c>
      <c r="D36" s="413"/>
      <c r="E36" s="420"/>
      <c r="F36" s="1081"/>
      <c r="G36" s="1082"/>
    </row>
    <row r="37" spans="1:7" ht="31.5">
      <c r="A37" s="416">
        <v>17</v>
      </c>
      <c r="B37" s="419"/>
      <c r="C37" s="414" t="s">
        <v>1647</v>
      </c>
      <c r="D37" s="413" t="s">
        <v>390</v>
      </c>
      <c r="E37" s="420">
        <v>1</v>
      </c>
      <c r="F37" s="1083"/>
      <c r="G37" s="1084"/>
    </row>
    <row r="38" spans="1:7" ht="31.5">
      <c r="A38" s="416">
        <v>18</v>
      </c>
      <c r="B38" s="419"/>
      <c r="C38" s="414" t="s">
        <v>715</v>
      </c>
      <c r="D38" s="413" t="s">
        <v>390</v>
      </c>
      <c r="E38" s="420">
        <v>24</v>
      </c>
      <c r="F38" s="1085"/>
      <c r="G38" s="1086"/>
    </row>
    <row r="39" spans="1:7" ht="47.25">
      <c r="A39" s="416">
        <v>19</v>
      </c>
      <c r="B39" s="421"/>
      <c r="C39" s="414" t="s">
        <v>716</v>
      </c>
      <c r="D39" s="413" t="s">
        <v>717</v>
      </c>
      <c r="E39" s="420">
        <v>3</v>
      </c>
      <c r="F39" s="415"/>
      <c r="G39" s="423"/>
    </row>
    <row r="40" spans="1:7">
      <c r="A40" s="416"/>
      <c r="B40" s="413"/>
      <c r="C40" s="424"/>
      <c r="D40" s="425"/>
      <c r="E40" s="426"/>
      <c r="F40" s="426"/>
      <c r="G40" s="426"/>
    </row>
    <row r="41" spans="1:7" ht="47.25">
      <c r="A41" s="416">
        <v>20</v>
      </c>
      <c r="B41" s="413" t="s">
        <v>1648</v>
      </c>
      <c r="C41" s="414" t="s">
        <v>719</v>
      </c>
      <c r="D41" s="413" t="s">
        <v>717</v>
      </c>
      <c r="E41" s="420">
        <v>2</v>
      </c>
      <c r="F41" s="415"/>
      <c r="G41" s="423"/>
    </row>
    <row r="42" spans="1:7">
      <c r="A42" s="416"/>
      <c r="B42" s="419"/>
      <c r="C42" s="414"/>
      <c r="D42" s="413"/>
      <c r="E42" s="420"/>
      <c r="F42" s="415"/>
      <c r="G42" s="423"/>
    </row>
    <row r="43" spans="1:7" ht="55.5" customHeight="1">
      <c r="A43" s="416">
        <v>21</v>
      </c>
      <c r="B43" s="416" t="s">
        <v>1649</v>
      </c>
      <c r="C43" s="414" t="s">
        <v>1785</v>
      </c>
      <c r="D43" s="413" t="s">
        <v>390</v>
      </c>
      <c r="E43" s="420">
        <v>3</v>
      </c>
      <c r="F43" s="415"/>
      <c r="G43" s="423"/>
    </row>
    <row r="44" spans="1:7">
      <c r="A44" s="416"/>
      <c r="B44" s="419"/>
      <c r="C44" s="414"/>
      <c r="D44" s="413"/>
      <c r="E44" s="420"/>
      <c r="F44" s="415"/>
      <c r="G44" s="423"/>
    </row>
    <row r="45" spans="1:7" ht="47.25">
      <c r="A45" s="416">
        <v>22</v>
      </c>
      <c r="B45" s="416" t="s">
        <v>1650</v>
      </c>
      <c r="C45" s="414" t="s">
        <v>1786</v>
      </c>
      <c r="D45" s="413" t="s">
        <v>390</v>
      </c>
      <c r="E45" s="420">
        <v>3</v>
      </c>
      <c r="F45" s="415"/>
      <c r="G45" s="423"/>
    </row>
    <row r="46" spans="1:7">
      <c r="A46" s="416"/>
      <c r="B46" s="419"/>
      <c r="C46" s="414"/>
      <c r="D46" s="413"/>
      <c r="E46" s="420"/>
      <c r="F46" s="415"/>
      <c r="G46" s="423"/>
    </row>
    <row r="47" spans="1:7" ht="31.5">
      <c r="A47" s="416">
        <v>23</v>
      </c>
      <c r="B47" s="413" t="s">
        <v>1651</v>
      </c>
      <c r="C47" s="414" t="s">
        <v>1787</v>
      </c>
      <c r="D47" s="413" t="s">
        <v>390</v>
      </c>
      <c r="E47" s="420">
        <v>12</v>
      </c>
      <c r="F47" s="415"/>
      <c r="G47" s="423"/>
    </row>
    <row r="48" spans="1:7">
      <c r="A48" s="416"/>
      <c r="B48" s="419"/>
      <c r="C48" s="414"/>
      <c r="D48" s="413"/>
      <c r="E48" s="420"/>
      <c r="F48" s="415"/>
      <c r="G48" s="423"/>
    </row>
    <row r="49" spans="1:7" ht="78.75">
      <c r="A49" s="416">
        <v>24</v>
      </c>
      <c r="B49" s="427" t="s">
        <v>1652</v>
      </c>
      <c r="C49" s="414" t="s">
        <v>1653</v>
      </c>
      <c r="D49" s="413" t="s">
        <v>717</v>
      </c>
      <c r="E49" s="420">
        <v>89</v>
      </c>
      <c r="F49" s="415"/>
      <c r="G49" s="423"/>
    </row>
    <row r="50" spans="1:7">
      <c r="A50" s="416"/>
      <c r="B50" s="413"/>
      <c r="C50" s="414"/>
      <c r="D50" s="413"/>
      <c r="E50" s="420"/>
      <c r="F50" s="415"/>
      <c r="G50" s="415"/>
    </row>
    <row r="51" spans="1:7" ht="31.5">
      <c r="A51" s="416">
        <v>25</v>
      </c>
      <c r="B51" s="413" t="s">
        <v>1654</v>
      </c>
      <c r="C51" s="414" t="s">
        <v>720</v>
      </c>
      <c r="D51" s="413" t="s">
        <v>390</v>
      </c>
      <c r="E51" s="420">
        <v>12</v>
      </c>
      <c r="F51" s="415"/>
      <c r="G51" s="423"/>
    </row>
    <row r="52" spans="1:7">
      <c r="A52" s="416"/>
      <c r="B52" s="419"/>
      <c r="C52" s="414"/>
      <c r="D52" s="413"/>
      <c r="E52" s="420"/>
      <c r="F52" s="415"/>
      <c r="G52" s="423"/>
    </row>
    <row r="53" spans="1:7" ht="141.75">
      <c r="A53" s="416">
        <v>26</v>
      </c>
      <c r="B53" s="416" t="s">
        <v>1655</v>
      </c>
      <c r="C53" s="428" t="s">
        <v>1788</v>
      </c>
      <c r="D53" s="413" t="s">
        <v>450</v>
      </c>
      <c r="E53" s="413">
        <v>3535</v>
      </c>
      <c r="F53" s="429"/>
      <c r="G53" s="423"/>
    </row>
    <row r="54" spans="1:7">
      <c r="A54" s="416"/>
      <c r="B54" s="416"/>
      <c r="C54" s="414"/>
      <c r="D54" s="413"/>
      <c r="E54" s="420"/>
      <c r="F54" s="415"/>
      <c r="G54" s="415"/>
    </row>
    <row r="55" spans="1:7" ht="139.5" customHeight="1">
      <c r="A55" s="416">
        <v>27</v>
      </c>
      <c r="B55" s="416" t="s">
        <v>1656</v>
      </c>
      <c r="C55" s="414" t="s">
        <v>1789</v>
      </c>
      <c r="D55" s="413" t="s">
        <v>450</v>
      </c>
      <c r="E55" s="413">
        <v>25</v>
      </c>
      <c r="F55" s="429"/>
      <c r="G55" s="423"/>
    </row>
    <row r="56" spans="1:7">
      <c r="A56" s="416"/>
      <c r="B56" s="416"/>
      <c r="C56" s="414"/>
      <c r="D56" s="425"/>
      <c r="E56" s="426"/>
      <c r="F56" s="426"/>
      <c r="G56" s="426"/>
    </row>
    <row r="57" spans="1:7" ht="63">
      <c r="A57" s="416">
        <v>28</v>
      </c>
      <c r="B57" s="416" t="s">
        <v>1657</v>
      </c>
      <c r="C57" s="422" t="s">
        <v>721</v>
      </c>
      <c r="D57" s="413" t="s">
        <v>450</v>
      </c>
      <c r="E57" s="420">
        <v>25</v>
      </c>
      <c r="F57" s="415"/>
      <c r="G57" s="415"/>
    </row>
    <row r="58" spans="1:7">
      <c r="A58" s="416"/>
      <c r="B58" s="416"/>
      <c r="C58" s="414"/>
      <c r="D58" s="425"/>
      <c r="E58" s="426"/>
      <c r="F58" s="426"/>
      <c r="G58" s="426"/>
    </row>
    <row r="59" spans="1:7" ht="78.75">
      <c r="A59" s="416">
        <v>29</v>
      </c>
      <c r="B59" s="416" t="s">
        <v>1658</v>
      </c>
      <c r="C59" s="422" t="s">
        <v>722</v>
      </c>
      <c r="D59" s="413" t="s">
        <v>390</v>
      </c>
      <c r="E59" s="420">
        <v>1</v>
      </c>
      <c r="F59" s="415"/>
      <c r="G59" s="415"/>
    </row>
    <row r="60" spans="1:7">
      <c r="A60" s="416"/>
      <c r="B60" s="416"/>
      <c r="C60" s="414"/>
      <c r="D60" s="425"/>
      <c r="E60" s="426"/>
      <c r="F60" s="426"/>
      <c r="G60" s="426"/>
    </row>
    <row r="61" spans="1:7" ht="204.75">
      <c r="A61" s="416">
        <v>30</v>
      </c>
      <c r="B61" s="416" t="s">
        <v>1659</v>
      </c>
      <c r="C61" s="414" t="s">
        <v>1790</v>
      </c>
      <c r="D61" s="413" t="s">
        <v>390</v>
      </c>
      <c r="E61" s="413">
        <v>1</v>
      </c>
      <c r="F61" s="429"/>
      <c r="G61" s="415"/>
    </row>
    <row r="62" spans="1:7">
      <c r="A62" s="416"/>
      <c r="B62" s="416"/>
      <c r="C62" s="414"/>
      <c r="D62" s="425"/>
      <c r="E62" s="426"/>
      <c r="F62" s="426"/>
      <c r="G62" s="426"/>
    </row>
    <row r="63" spans="1:7" ht="78.75">
      <c r="A63" s="416">
        <v>31</v>
      </c>
      <c r="B63" s="416" t="s">
        <v>1660</v>
      </c>
      <c r="C63" s="414" t="s">
        <v>1791</v>
      </c>
      <c r="D63" s="413" t="s">
        <v>390</v>
      </c>
      <c r="E63" s="413">
        <v>1</v>
      </c>
      <c r="F63" s="429"/>
      <c r="G63" s="415"/>
    </row>
    <row r="64" spans="1:7">
      <c r="A64" s="416"/>
      <c r="B64" s="416"/>
      <c r="C64" s="414"/>
      <c r="D64" s="425"/>
      <c r="E64" s="426"/>
      <c r="F64" s="426"/>
      <c r="G64" s="426"/>
    </row>
    <row r="65" spans="1:7" ht="78.75">
      <c r="A65" s="416">
        <v>32</v>
      </c>
      <c r="B65" s="416" t="s">
        <v>1661</v>
      </c>
      <c r="C65" s="414" t="s">
        <v>1792</v>
      </c>
      <c r="D65" s="413" t="s">
        <v>390</v>
      </c>
      <c r="E65" s="413">
        <v>2</v>
      </c>
      <c r="F65" s="429"/>
      <c r="G65" s="415"/>
    </row>
    <row r="66" spans="1:7">
      <c r="A66" s="416"/>
      <c r="B66" s="413"/>
      <c r="C66" s="414"/>
      <c r="D66" s="413"/>
      <c r="E66" s="420"/>
      <c r="F66" s="415"/>
      <c r="G66" s="415"/>
    </row>
    <row r="67" spans="1:7" ht="31.5">
      <c r="A67" s="416">
        <v>33</v>
      </c>
      <c r="B67" s="430"/>
      <c r="C67" s="414" t="s">
        <v>1662</v>
      </c>
      <c r="D67" s="413"/>
      <c r="E67" s="413"/>
      <c r="F67" s="429"/>
      <c r="G67" s="423"/>
    </row>
    <row r="68" spans="1:7">
      <c r="A68" s="416">
        <v>34</v>
      </c>
      <c r="B68" s="419" t="s">
        <v>1663</v>
      </c>
      <c r="C68" s="414" t="s">
        <v>1664</v>
      </c>
      <c r="D68" s="413" t="s">
        <v>450</v>
      </c>
      <c r="E68" s="420">
        <v>420</v>
      </c>
      <c r="F68" s="415"/>
      <c r="G68" s="415"/>
    </row>
    <row r="69" spans="1:7">
      <c r="A69" s="416">
        <v>35</v>
      </c>
      <c r="B69" s="419"/>
      <c r="C69" s="414" t="s">
        <v>1665</v>
      </c>
      <c r="D69" s="413" t="s">
        <v>450</v>
      </c>
      <c r="E69" s="420">
        <v>290</v>
      </c>
      <c r="F69" s="415"/>
      <c r="G69" s="415"/>
    </row>
    <row r="70" spans="1:7">
      <c r="A70" s="416"/>
      <c r="B70" s="413"/>
      <c r="C70" s="414"/>
      <c r="D70" s="413"/>
      <c r="E70" s="420"/>
      <c r="F70" s="415"/>
      <c r="G70" s="415"/>
    </row>
    <row r="71" spans="1:7" ht="31.5">
      <c r="A71" s="416">
        <v>36</v>
      </c>
      <c r="B71" s="413" t="s">
        <v>1666</v>
      </c>
      <c r="C71" s="414" t="s">
        <v>723</v>
      </c>
      <c r="D71" s="413" t="s">
        <v>724</v>
      </c>
      <c r="E71" s="413">
        <v>1</v>
      </c>
      <c r="F71" s="429"/>
      <c r="G71" s="415"/>
    </row>
    <row r="72" spans="1:7">
      <c r="A72" s="416"/>
      <c r="B72" s="413"/>
      <c r="C72" s="414"/>
      <c r="D72" s="413"/>
      <c r="E72" s="420"/>
      <c r="F72" s="415"/>
      <c r="G72" s="415"/>
    </row>
    <row r="73" spans="1:7">
      <c r="A73" s="416">
        <v>37</v>
      </c>
      <c r="B73" s="413" t="s">
        <v>1667</v>
      </c>
      <c r="C73" s="414" t="s">
        <v>725</v>
      </c>
      <c r="D73" s="413" t="s">
        <v>724</v>
      </c>
      <c r="E73" s="413">
        <v>1</v>
      </c>
      <c r="F73" s="429"/>
      <c r="G73" s="415"/>
    </row>
    <row r="74" spans="1:7">
      <c r="A74" s="416"/>
      <c r="B74" s="413"/>
      <c r="C74" s="414"/>
      <c r="D74" s="413"/>
      <c r="E74" s="420"/>
      <c r="F74" s="415"/>
      <c r="G74" s="415"/>
    </row>
    <row r="75" spans="1:7" ht="78.75">
      <c r="A75" s="416">
        <v>38</v>
      </c>
      <c r="B75" s="416" t="s">
        <v>1668</v>
      </c>
      <c r="C75" s="428" t="s">
        <v>726</v>
      </c>
      <c r="D75" s="413" t="s">
        <v>724</v>
      </c>
      <c r="E75" s="413">
        <v>1</v>
      </c>
      <c r="F75" s="429"/>
      <c r="G75" s="423"/>
    </row>
    <row r="76" spans="1:7">
      <c r="A76" s="416"/>
      <c r="B76" s="413"/>
      <c r="C76" s="414"/>
      <c r="D76" s="431"/>
      <c r="E76" s="413"/>
      <c r="F76" s="415"/>
      <c r="G76" s="415"/>
    </row>
    <row r="77" spans="1:7" ht="63">
      <c r="A77" s="416">
        <v>39</v>
      </c>
      <c r="B77" s="416" t="s">
        <v>1669</v>
      </c>
      <c r="C77" s="414" t="s">
        <v>1670</v>
      </c>
      <c r="D77" s="413" t="s">
        <v>390</v>
      </c>
      <c r="E77" s="413">
        <v>1</v>
      </c>
      <c r="F77" s="415"/>
      <c r="G77" s="415"/>
    </row>
    <row r="78" spans="1:7">
      <c r="A78" s="416"/>
      <c r="B78" s="416"/>
      <c r="C78" s="414"/>
      <c r="D78" s="413"/>
      <c r="E78" s="413"/>
      <c r="F78" s="415"/>
      <c r="G78" s="415"/>
    </row>
    <row r="79" spans="1:7" ht="47.25">
      <c r="A79" s="416">
        <v>40</v>
      </c>
      <c r="B79" s="416" t="s">
        <v>1671</v>
      </c>
      <c r="C79" s="414" t="s">
        <v>727</v>
      </c>
      <c r="D79" s="413" t="s">
        <v>724</v>
      </c>
      <c r="E79" s="413">
        <v>1</v>
      </c>
      <c r="F79" s="415"/>
      <c r="G79" s="415"/>
    </row>
    <row r="80" spans="1:7">
      <c r="A80" s="416"/>
      <c r="B80" s="413"/>
      <c r="C80" s="414"/>
      <c r="D80" s="413"/>
      <c r="E80" s="413"/>
      <c r="F80" s="415"/>
      <c r="G80" s="415"/>
    </row>
    <row r="81" spans="1:7" ht="31.5">
      <c r="A81" s="432"/>
      <c r="B81" s="433"/>
      <c r="C81" s="434" t="s">
        <v>1672</v>
      </c>
      <c r="D81" s="435"/>
      <c r="E81" s="436"/>
      <c r="F81" s="437"/>
      <c r="G81" s="438"/>
    </row>
    <row r="82" spans="1:7">
      <c r="A82" s="439"/>
      <c r="B82" s="440"/>
      <c r="C82" s="441"/>
      <c r="D82" s="442"/>
      <c r="E82" s="440"/>
      <c r="F82" s="443"/>
      <c r="G82" s="444"/>
    </row>
    <row r="83" spans="1:7">
      <c r="A83" s="439"/>
      <c r="B83" s="445"/>
      <c r="C83" s="446"/>
      <c r="D83" s="417"/>
      <c r="E83" s="430"/>
      <c r="F83" s="447"/>
      <c r="G83" s="448"/>
    </row>
    <row r="84" spans="1:7">
      <c r="A84" s="432"/>
      <c r="B84" s="433"/>
      <c r="C84" s="449" t="s">
        <v>728</v>
      </c>
      <c r="D84" s="450"/>
      <c r="E84" s="451"/>
      <c r="F84" s="452"/>
      <c r="G84" s="453"/>
    </row>
    <row r="85" spans="1:7">
      <c r="A85" s="430"/>
      <c r="B85" s="430"/>
      <c r="C85" s="454"/>
      <c r="D85" s="417"/>
      <c r="E85" s="430"/>
      <c r="F85" s="430"/>
      <c r="G85" s="455"/>
    </row>
    <row r="86" spans="1:7" ht="346.5">
      <c r="A86" s="416">
        <v>1</v>
      </c>
      <c r="B86" s="416" t="s">
        <v>729</v>
      </c>
      <c r="C86" s="456" t="s">
        <v>1793</v>
      </c>
      <c r="D86" s="413" t="s">
        <v>390</v>
      </c>
      <c r="E86" s="413">
        <v>27</v>
      </c>
      <c r="F86" s="415"/>
      <c r="G86" s="415"/>
    </row>
    <row r="87" spans="1:7">
      <c r="A87" s="427"/>
      <c r="B87" s="427"/>
      <c r="C87" s="454"/>
      <c r="D87" s="417"/>
      <c r="E87" s="430"/>
      <c r="F87" s="430"/>
      <c r="G87" s="455"/>
    </row>
    <row r="88" spans="1:7" ht="110.25">
      <c r="A88" s="416">
        <v>2</v>
      </c>
      <c r="B88" s="416" t="s">
        <v>730</v>
      </c>
      <c r="C88" s="456" t="s">
        <v>1794</v>
      </c>
      <c r="D88" s="413" t="s">
        <v>390</v>
      </c>
      <c r="E88" s="413">
        <v>1</v>
      </c>
      <c r="F88" s="415"/>
      <c r="G88" s="415"/>
    </row>
    <row r="89" spans="1:7">
      <c r="A89" s="427"/>
      <c r="B89" s="427"/>
      <c r="C89" s="457"/>
      <c r="D89" s="417"/>
      <c r="E89" s="430"/>
      <c r="F89" s="430"/>
      <c r="G89" s="455"/>
    </row>
    <row r="90" spans="1:7" ht="204.75">
      <c r="A90" s="416">
        <v>3</v>
      </c>
      <c r="B90" s="416" t="s">
        <v>731</v>
      </c>
      <c r="C90" s="456" t="s">
        <v>732</v>
      </c>
      <c r="D90" s="413" t="s">
        <v>390</v>
      </c>
      <c r="E90" s="413">
        <v>1</v>
      </c>
      <c r="F90" s="415"/>
      <c r="G90" s="415"/>
    </row>
    <row r="91" spans="1:7">
      <c r="A91" s="427"/>
      <c r="B91" s="427"/>
      <c r="C91" s="454"/>
      <c r="D91" s="417"/>
      <c r="E91" s="430"/>
      <c r="F91" s="430"/>
      <c r="G91" s="455"/>
    </row>
    <row r="92" spans="1:7" ht="78.75">
      <c r="A92" s="416">
        <v>4</v>
      </c>
      <c r="B92" s="416" t="s">
        <v>733</v>
      </c>
      <c r="C92" s="456" t="s">
        <v>734</v>
      </c>
      <c r="D92" s="413" t="s">
        <v>390</v>
      </c>
      <c r="E92" s="413">
        <v>1</v>
      </c>
      <c r="F92" s="415"/>
      <c r="G92" s="415"/>
    </row>
    <row r="93" spans="1:7">
      <c r="A93" s="427"/>
      <c r="B93" s="427"/>
      <c r="C93" s="457"/>
      <c r="D93" s="417"/>
      <c r="E93" s="430"/>
      <c r="F93" s="430"/>
      <c r="G93" s="455"/>
    </row>
    <row r="94" spans="1:7" ht="157.5">
      <c r="A94" s="416">
        <v>5</v>
      </c>
      <c r="B94" s="416" t="s">
        <v>735</v>
      </c>
      <c r="C94" s="428" t="s">
        <v>1795</v>
      </c>
      <c r="D94" s="413" t="s">
        <v>450</v>
      </c>
      <c r="E94" s="413">
        <v>500</v>
      </c>
      <c r="F94" s="429"/>
      <c r="G94" s="423"/>
    </row>
    <row r="95" spans="1:7">
      <c r="A95" s="416"/>
      <c r="B95" s="416"/>
      <c r="C95" s="414"/>
      <c r="D95" s="413"/>
      <c r="E95" s="420"/>
      <c r="F95" s="415"/>
      <c r="G95" s="415"/>
    </row>
    <row r="96" spans="1:7" ht="78.75">
      <c r="A96" s="416">
        <v>6</v>
      </c>
      <c r="B96" s="416" t="s">
        <v>736</v>
      </c>
      <c r="C96" s="428" t="s">
        <v>726</v>
      </c>
      <c r="D96" s="413" t="s">
        <v>724</v>
      </c>
      <c r="E96" s="413">
        <v>1</v>
      </c>
      <c r="F96" s="429"/>
      <c r="G96" s="423"/>
    </row>
    <row r="97" spans="1:7">
      <c r="A97" s="416"/>
      <c r="B97" s="416"/>
      <c r="C97" s="414"/>
      <c r="D97" s="431"/>
      <c r="E97" s="413"/>
      <c r="F97" s="415"/>
      <c r="G97" s="415"/>
    </row>
    <row r="98" spans="1:7" ht="63">
      <c r="A98" s="416">
        <v>7</v>
      </c>
      <c r="B98" s="416" t="s">
        <v>737</v>
      </c>
      <c r="C98" s="414" t="s">
        <v>738</v>
      </c>
      <c r="D98" s="413" t="s">
        <v>724</v>
      </c>
      <c r="E98" s="413">
        <v>1</v>
      </c>
      <c r="F98" s="415"/>
      <c r="G98" s="415"/>
    </row>
    <row r="99" spans="1:7">
      <c r="A99" s="416"/>
      <c r="B99" s="416"/>
      <c r="C99" s="414"/>
      <c r="D99" s="413"/>
      <c r="E99" s="413"/>
      <c r="F99" s="415"/>
      <c r="G99" s="415"/>
    </row>
    <row r="100" spans="1:7" ht="47.25">
      <c r="A100" s="418"/>
      <c r="B100" s="418"/>
      <c r="C100" s="458" t="s">
        <v>739</v>
      </c>
      <c r="D100" s="413"/>
      <c r="E100" s="418"/>
      <c r="F100" s="418"/>
      <c r="G100" s="459"/>
    </row>
    <row r="101" spans="1:7">
      <c r="A101" s="439"/>
      <c r="B101" s="445"/>
      <c r="C101" s="460"/>
      <c r="D101" s="413"/>
      <c r="E101" s="418"/>
      <c r="F101" s="418"/>
      <c r="G101" s="459"/>
    </row>
    <row r="102" spans="1:7">
      <c r="A102" s="432"/>
      <c r="B102" s="433"/>
      <c r="C102" s="434" t="s">
        <v>740</v>
      </c>
      <c r="D102" s="435"/>
      <c r="E102" s="436"/>
      <c r="F102" s="437"/>
      <c r="G102" s="438"/>
    </row>
    <row r="103" spans="1:7">
      <c r="A103" s="439"/>
      <c r="B103" s="445"/>
      <c r="C103" s="446"/>
      <c r="D103" s="417"/>
      <c r="E103" s="430"/>
      <c r="F103" s="447"/>
      <c r="G103" s="448"/>
    </row>
    <row r="104" spans="1:7">
      <c r="A104" s="418"/>
      <c r="B104" s="418"/>
      <c r="C104" s="461"/>
      <c r="D104" s="413"/>
      <c r="E104" s="418"/>
      <c r="F104" s="418"/>
      <c r="G104" s="459"/>
    </row>
    <row r="105" spans="1:7">
      <c r="A105" s="418"/>
      <c r="B105" s="418"/>
      <c r="C105" s="434" t="s">
        <v>501</v>
      </c>
      <c r="D105" s="435"/>
      <c r="E105" s="436"/>
      <c r="F105" s="436"/>
      <c r="G105" s="462"/>
    </row>
    <row r="106" spans="1:7">
      <c r="A106" s="418"/>
      <c r="B106" s="418"/>
      <c r="C106" s="434"/>
      <c r="D106" s="435"/>
      <c r="E106" s="436"/>
      <c r="F106" s="436"/>
      <c r="G106" s="462"/>
    </row>
    <row r="107" spans="1:7" ht="31.5">
      <c r="A107" s="418"/>
      <c r="B107" s="418"/>
      <c r="C107" s="434" t="s">
        <v>1673</v>
      </c>
      <c r="D107" s="435"/>
      <c r="E107" s="436"/>
      <c r="F107" s="436"/>
      <c r="G107" s="463"/>
    </row>
    <row r="108" spans="1:7">
      <c r="A108" s="418"/>
      <c r="B108" s="418"/>
      <c r="C108" s="434" t="s">
        <v>1674</v>
      </c>
      <c r="D108" s="435"/>
      <c r="E108" s="462"/>
      <c r="F108" s="462"/>
      <c r="G108" s="463"/>
    </row>
    <row r="109" spans="1:7">
      <c r="A109" s="418"/>
      <c r="B109" s="418"/>
      <c r="C109" s="434"/>
      <c r="D109" s="435"/>
      <c r="E109" s="436"/>
      <c r="F109" s="436"/>
      <c r="G109" s="463"/>
    </row>
    <row r="110" spans="1:7">
      <c r="A110" s="418"/>
      <c r="B110" s="418"/>
      <c r="C110" s="434" t="s">
        <v>1675</v>
      </c>
      <c r="D110" s="435"/>
      <c r="E110" s="436"/>
      <c r="F110" s="436"/>
      <c r="G110" s="463"/>
    </row>
    <row r="111" spans="1:7">
      <c r="A111" s="405"/>
      <c r="B111" s="405"/>
      <c r="C111" s="406"/>
      <c r="D111" s="407"/>
      <c r="E111" s="405"/>
      <c r="F111" s="405"/>
      <c r="G111" s="408"/>
    </row>
    <row r="112" spans="1:7">
      <c r="A112" s="472"/>
      <c r="B112" s="472"/>
      <c r="C112" s="464"/>
      <c r="D112" s="472"/>
      <c r="E112" s="465"/>
      <c r="F112" s="466"/>
      <c r="G112" s="395"/>
    </row>
    <row r="113" spans="1:7">
      <c r="A113" s="472"/>
      <c r="B113" s="472"/>
      <c r="C113" s="464"/>
      <c r="D113" s="472"/>
      <c r="E113" s="465"/>
      <c r="F113" s="467"/>
      <c r="G113" s="395"/>
    </row>
    <row r="114" spans="1:7">
      <c r="A114" s="472"/>
      <c r="B114" s="472"/>
      <c r="C114" s="464"/>
      <c r="D114" s="472"/>
      <c r="E114" s="465"/>
      <c r="F114" s="468"/>
      <c r="G114" s="395"/>
    </row>
  </sheetData>
  <mergeCells count="11">
    <mergeCell ref="C10:G10"/>
    <mergeCell ref="C1:F1"/>
    <mergeCell ref="A2:G2"/>
    <mergeCell ref="C5:G5"/>
    <mergeCell ref="C6:G6"/>
    <mergeCell ref="C8:G8"/>
    <mergeCell ref="F17:G20"/>
    <mergeCell ref="F23:G26"/>
    <mergeCell ref="F31:G33"/>
    <mergeCell ref="F36:G38"/>
    <mergeCell ref="C11:G11"/>
  </mergeCells>
  <pageMargins left="0.7" right="0.7" top="0.75" bottom="0.75" header="0.3" footer="0.3"/>
  <pageSetup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topLeftCell="A7" zoomScale="80" zoomScaleNormal="100" zoomScaleSheetLayoutView="80" workbookViewId="0">
      <selection activeCell="H23" sqref="H23"/>
    </sheetView>
  </sheetViews>
  <sheetFormatPr defaultRowHeight="15.75"/>
  <cols>
    <col min="1" max="1" width="4.125" customWidth="1"/>
    <col min="2" max="2" width="46.625" customWidth="1"/>
    <col min="3" max="3" width="5" customWidth="1"/>
    <col min="4" max="4" width="7.125" customWidth="1"/>
    <col min="5" max="5" width="9.875" customWidth="1"/>
    <col min="6" max="6" width="17.625" customWidth="1"/>
  </cols>
  <sheetData>
    <row r="1" spans="1:6" ht="48" thickTop="1">
      <c r="A1" s="118" t="s">
        <v>516</v>
      </c>
      <c r="B1" s="119" t="s">
        <v>517</v>
      </c>
      <c r="C1" s="120" t="s">
        <v>518</v>
      </c>
      <c r="D1" s="119" t="s">
        <v>519</v>
      </c>
      <c r="E1" s="120" t="s">
        <v>520</v>
      </c>
      <c r="F1" s="121" t="s">
        <v>521</v>
      </c>
    </row>
    <row r="2" spans="1:6">
      <c r="A2" s="122">
        <v>1</v>
      </c>
      <c r="B2" s="123">
        <f>A2+1</f>
        <v>2</v>
      </c>
      <c r="C2" s="124">
        <f>B2+1</f>
        <v>3</v>
      </c>
      <c r="D2" s="123">
        <f>C2+1</f>
        <v>4</v>
      </c>
      <c r="E2" s="124">
        <v>5</v>
      </c>
      <c r="F2" s="125">
        <f>E2+1</f>
        <v>6</v>
      </c>
    </row>
    <row r="3" spans="1:6" ht="31.5">
      <c r="A3" s="126"/>
      <c r="B3" s="127" t="s">
        <v>522</v>
      </c>
      <c r="C3" s="128"/>
      <c r="D3" s="129"/>
      <c r="E3" s="128"/>
      <c r="F3" s="125"/>
    </row>
    <row r="4" spans="1:6" ht="409.5">
      <c r="A4" s="130">
        <v>1</v>
      </c>
      <c r="B4" s="131" t="s">
        <v>523</v>
      </c>
      <c r="C4" s="132" t="s">
        <v>284</v>
      </c>
      <c r="D4" s="133">
        <v>1</v>
      </c>
      <c r="E4" s="134"/>
      <c r="F4" s="860"/>
    </row>
    <row r="5" spans="1:6" ht="78.75">
      <c r="A5" s="135">
        <f>A4+1</f>
        <v>2</v>
      </c>
      <c r="B5" s="136" t="s">
        <v>524</v>
      </c>
      <c r="C5" s="137" t="s">
        <v>284</v>
      </c>
      <c r="D5" s="138">
        <v>2</v>
      </c>
      <c r="E5" s="139"/>
      <c r="F5" s="861"/>
    </row>
    <row r="6" spans="1:6" ht="220.5">
      <c r="A6" s="135">
        <f>A5+1</f>
        <v>3</v>
      </c>
      <c r="B6" s="136" t="s">
        <v>525</v>
      </c>
      <c r="C6" s="137" t="s">
        <v>319</v>
      </c>
      <c r="D6" s="138">
        <v>1</v>
      </c>
      <c r="E6" s="139"/>
      <c r="F6" s="861"/>
    </row>
    <row r="7" spans="1:6" ht="78.75">
      <c r="A7" s="135">
        <f>A6+1</f>
        <v>4</v>
      </c>
      <c r="B7" s="131" t="s">
        <v>526</v>
      </c>
      <c r="C7" s="137" t="s">
        <v>284</v>
      </c>
      <c r="D7" s="138">
        <v>1</v>
      </c>
      <c r="E7" s="139"/>
      <c r="F7" s="861"/>
    </row>
    <row r="8" spans="1:6" ht="346.5">
      <c r="A8" s="135">
        <f t="shared" ref="A8:A18" si="0">A7+1</f>
        <v>5</v>
      </c>
      <c r="B8" s="131" t="s">
        <v>527</v>
      </c>
      <c r="C8" s="137" t="s">
        <v>284</v>
      </c>
      <c r="D8" s="138">
        <v>85</v>
      </c>
      <c r="E8" s="139"/>
      <c r="F8" s="861"/>
    </row>
    <row r="9" spans="1:6" ht="78.75">
      <c r="A9" s="135">
        <f t="shared" si="0"/>
        <v>6</v>
      </c>
      <c r="B9" s="131" t="s">
        <v>528</v>
      </c>
      <c r="C9" s="137" t="s">
        <v>284</v>
      </c>
      <c r="D9" s="138">
        <v>85</v>
      </c>
      <c r="E9" s="139"/>
      <c r="F9" s="861"/>
    </row>
    <row r="10" spans="1:6" ht="110.25">
      <c r="A10" s="135">
        <f t="shared" si="0"/>
        <v>7</v>
      </c>
      <c r="B10" s="131" t="s">
        <v>529</v>
      </c>
      <c r="C10" s="137" t="s">
        <v>284</v>
      </c>
      <c r="D10" s="138">
        <v>7</v>
      </c>
      <c r="E10" s="139"/>
      <c r="F10" s="861"/>
    </row>
    <row r="11" spans="1:6" ht="110.25">
      <c r="A11" s="135">
        <f t="shared" si="0"/>
        <v>8</v>
      </c>
      <c r="B11" s="131" t="s">
        <v>530</v>
      </c>
      <c r="C11" s="137" t="s">
        <v>284</v>
      </c>
      <c r="D11" s="138">
        <v>12</v>
      </c>
      <c r="E11" s="139"/>
      <c r="F11" s="861"/>
    </row>
    <row r="12" spans="1:6" ht="141.75">
      <c r="A12" s="135">
        <v>9</v>
      </c>
      <c r="B12" s="131" t="s">
        <v>531</v>
      </c>
      <c r="C12" s="137" t="s">
        <v>284</v>
      </c>
      <c r="D12" s="138">
        <v>4</v>
      </c>
      <c r="E12" s="139"/>
      <c r="F12" s="861"/>
    </row>
    <row r="13" spans="1:6" ht="94.5">
      <c r="A13" s="135">
        <f t="shared" si="0"/>
        <v>10</v>
      </c>
      <c r="B13" s="131" t="s">
        <v>532</v>
      </c>
      <c r="C13" s="137" t="s">
        <v>109</v>
      </c>
      <c r="D13" s="140">
        <v>1100</v>
      </c>
      <c r="E13" s="139"/>
      <c r="F13" s="861"/>
    </row>
    <row r="14" spans="1:6" ht="78.75">
      <c r="A14" s="135">
        <v>11</v>
      </c>
      <c r="B14" s="131" t="s">
        <v>533</v>
      </c>
      <c r="C14" s="137" t="s">
        <v>109</v>
      </c>
      <c r="D14" s="140">
        <v>60</v>
      </c>
      <c r="E14" s="139"/>
      <c r="F14" s="861"/>
    </row>
    <row r="15" spans="1:6" ht="78.75">
      <c r="A15" s="135">
        <v>12</v>
      </c>
      <c r="B15" s="131" t="s">
        <v>534</v>
      </c>
      <c r="C15" s="137" t="s">
        <v>8</v>
      </c>
      <c r="D15" s="138">
        <v>1</v>
      </c>
      <c r="E15" s="139"/>
      <c r="F15" s="861"/>
    </row>
    <row r="16" spans="1:6" ht="94.5">
      <c r="A16" s="135">
        <f t="shared" si="0"/>
        <v>13</v>
      </c>
      <c r="B16" s="131" t="s">
        <v>535</v>
      </c>
      <c r="C16" s="141" t="s">
        <v>319</v>
      </c>
      <c r="D16" s="142">
        <v>1</v>
      </c>
      <c r="E16" s="139"/>
      <c r="F16" s="862"/>
    </row>
    <row r="17" spans="1:6" ht="252">
      <c r="A17" s="135">
        <f t="shared" si="0"/>
        <v>14</v>
      </c>
      <c r="B17" s="131" t="s">
        <v>536</v>
      </c>
      <c r="C17" s="137" t="s">
        <v>319</v>
      </c>
      <c r="D17" s="138">
        <v>1</v>
      </c>
      <c r="E17" s="139"/>
      <c r="F17" s="861"/>
    </row>
    <row r="18" spans="1:6" ht="63.75" thickBot="1">
      <c r="A18" s="135">
        <f t="shared" si="0"/>
        <v>15</v>
      </c>
      <c r="B18" s="131" t="s">
        <v>537</v>
      </c>
      <c r="C18" s="137" t="s">
        <v>319</v>
      </c>
      <c r="D18" s="138">
        <v>1</v>
      </c>
      <c r="E18" s="139"/>
      <c r="F18" s="861"/>
    </row>
    <row r="19" spans="1:6" ht="17.25" thickTop="1" thickBot="1">
      <c r="A19" s="1093"/>
      <c r="B19" s="1093"/>
      <c r="C19" s="1093"/>
      <c r="D19" s="1093"/>
      <c r="E19" s="1093"/>
      <c r="F19" s="1093"/>
    </row>
    <row r="20" spans="1:6" ht="16.5" thickTop="1">
      <c r="A20" s="1094" t="s">
        <v>538</v>
      </c>
      <c r="B20" s="1095"/>
      <c r="C20" s="1095"/>
      <c r="D20" s="1095"/>
      <c r="E20" s="1095"/>
      <c r="F20" s="143"/>
    </row>
    <row r="21" spans="1:6">
      <c r="A21" s="1096" t="s">
        <v>539</v>
      </c>
      <c r="B21" s="1097"/>
      <c r="C21" s="1097"/>
      <c r="D21" s="1097"/>
      <c r="E21" s="1097"/>
      <c r="F21" s="144"/>
    </row>
    <row r="22" spans="1:6" ht="16.5" thickBot="1">
      <c r="A22" s="1098" t="s">
        <v>503</v>
      </c>
      <c r="B22" s="1099"/>
      <c r="C22" s="1099"/>
      <c r="D22" s="1099"/>
      <c r="E22" s="1099"/>
      <c r="F22" s="145"/>
    </row>
    <row r="23" spans="1:6" ht="16.5" thickTop="1"/>
  </sheetData>
  <mergeCells count="4">
    <mergeCell ref="A19:F19"/>
    <mergeCell ref="A20:E20"/>
    <mergeCell ref="A21:E21"/>
    <mergeCell ref="A22:E22"/>
  </mergeCells>
  <pageMargins left="0.25" right="0.25"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0 Радови на рушењу </vt:lpstr>
      <vt:lpstr>1(1-(2-1)-Arhitetura-Konstrukc.</vt:lpstr>
      <vt:lpstr>Specifikacija-Racun</vt:lpstr>
      <vt:lpstr>List1</vt:lpstr>
      <vt:lpstr>2 (3)-Spoljni ViK</vt:lpstr>
      <vt:lpstr>3 (3)-Unutrašnji ViK</vt:lpstr>
      <vt:lpstr>4 (4) Elektroinstalacija-1</vt:lpstr>
      <vt:lpstr>5 (5-1)-Tel. i Signalna Instal.</vt:lpstr>
      <vt:lpstr>6 (5-2)-Dojava požara</vt:lpstr>
      <vt:lpstr>7 (6-1) Mašinske instalac</vt:lpstr>
      <vt:lpstr>8 (6-2) Projekat Lifta</vt:lpstr>
      <vt:lpstr>9 (8)-Saobraćajna signalizacija</vt:lpstr>
      <vt:lpstr>10 (9)-Spoljno uređenje</vt:lpstr>
      <vt:lpstr>ZBIRNA REKAPITULACIJA</vt:lpstr>
      <vt:lpstr>euro</vt:lpstr>
      <vt:lpstr>'0 Радови на рушењу '!Print_Area</vt:lpstr>
      <vt:lpstr>'4 (4) Elektroinstalacija-1'!Print_Area</vt:lpstr>
      <vt:lpstr>'9 (8)-Saobraćajna signalizacija'!Print_Area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d.o.o. "Euro Gardi Group" - GG</dc:creator>
  <cp:lastModifiedBy>Miranda MV. Vučenović</cp:lastModifiedBy>
  <cp:lastPrinted>2016-10-17T09:00:04Z</cp:lastPrinted>
  <dcterms:created xsi:type="dcterms:W3CDTF">2012-03-02T07:33:20Z</dcterms:created>
  <dcterms:modified xsi:type="dcterms:W3CDTF">2016-11-10T13:59:57Z</dcterms:modified>
</cp:coreProperties>
</file>